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eefe\Desktop\"/>
    </mc:Choice>
  </mc:AlternateContent>
  <bookViews>
    <workbookView xWindow="0" yWindow="0" windowWidth="25200" windowHeight="11850" tabRatio="941" activeTab="1"/>
  </bookViews>
  <sheets>
    <sheet name="Summary Avgs and Stdevs" sheetId="30" r:id="rId1"/>
    <sheet name="Summary DMA data" sheetId="31" r:id="rId2"/>
    <sheet name="Usable Gamma's" sheetId="32" r:id="rId3"/>
    <sheet name="M213 143514 Se TG" sheetId="6" r:id="rId4"/>
    <sheet name="M8 145056 A TG" sheetId="1" r:id="rId5"/>
    <sheet name="M8 145056 A BG" sheetId="2" r:id="rId6"/>
    <sheet name="M11 133651 A TG" sheetId="3" r:id="rId7"/>
    <sheet name="M4 110142 A TG" sheetId="4" r:id="rId8"/>
    <sheet name="M8 134640 A BG" sheetId="5" r:id="rId9"/>
    <sheet name="M1 142413 Sl BG" sheetId="7" r:id="rId10"/>
    <sheet name="M4 114756 Sl TG" sheetId="8" r:id="rId11"/>
    <sheet name="M9 144505 Sl TG" sheetId="9" r:id="rId12"/>
    <sheet name="PL1 104827 Sl BG" sheetId="19" r:id="rId13"/>
    <sheet name="PL1 134856 Sl BG" sheetId="21" r:id="rId14"/>
    <sheet name="PL5 145450 Sl TG" sheetId="22" r:id="rId15"/>
    <sheet name="PL3 113156 A TG" sheetId="10" r:id="rId16"/>
    <sheet name="PL3 113813 A TG" sheetId="11" r:id="rId17"/>
    <sheet name="PL3 114723 A TG" sheetId="12" r:id="rId18"/>
    <sheet name="PL6 154513 A TG" sheetId="13" r:id="rId19"/>
    <sheet name="PL6 155022 A TG" sheetId="14" r:id="rId20"/>
    <sheet name="PL1 134856 A TG" sheetId="18" r:id="rId21"/>
    <sheet name="PL4 132734 Se TG" sheetId="15" r:id="rId22"/>
    <sheet name="PL5 145450 Se BG" sheetId="16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32" l="1"/>
  <c r="L6" i="32" s="1"/>
  <c r="C45" i="30" l="1"/>
  <c r="D45" i="30"/>
  <c r="E45" i="30"/>
  <c r="F45" i="30"/>
  <c r="G45" i="30"/>
  <c r="H45" i="30"/>
  <c r="I45" i="30"/>
  <c r="J45" i="30"/>
  <c r="K45" i="30"/>
  <c r="L45" i="30"/>
  <c r="C44" i="30"/>
  <c r="D44" i="30"/>
  <c r="E44" i="30"/>
  <c r="F44" i="30"/>
  <c r="G44" i="30"/>
  <c r="H44" i="30"/>
  <c r="I44" i="30"/>
  <c r="J44" i="30"/>
  <c r="K44" i="30"/>
  <c r="L44" i="30"/>
  <c r="B45" i="30"/>
  <c r="B44" i="30"/>
  <c r="D12" i="31" l="1"/>
  <c r="D13" i="31" s="1"/>
  <c r="C3" i="31"/>
  <c r="C4" i="31"/>
  <c r="C5" i="31"/>
  <c r="C6" i="31"/>
  <c r="C7" i="31"/>
  <c r="C8" i="31"/>
  <c r="C9" i="31"/>
  <c r="C10" i="31"/>
  <c r="C11" i="31"/>
  <c r="C2" i="31"/>
  <c r="C12" i="31" l="1"/>
  <c r="C13" i="31" s="1"/>
  <c r="K30" i="30"/>
  <c r="M26" i="16"/>
  <c r="K40" i="30" s="1"/>
  <c r="B26" i="16"/>
  <c r="B40" i="30" s="1"/>
  <c r="B23" i="15"/>
  <c r="B38" i="30" s="1"/>
  <c r="M23" i="15"/>
  <c r="K38" i="30" s="1"/>
  <c r="M33" i="14"/>
  <c r="M19" i="18"/>
  <c r="K36" i="30" s="1"/>
  <c r="B19" i="18"/>
  <c r="B36" i="30" s="1"/>
  <c r="B33" i="14"/>
  <c r="C34" i="14"/>
  <c r="D34" i="14"/>
  <c r="F34" i="14"/>
  <c r="G34" i="14"/>
  <c r="H34" i="14"/>
  <c r="I34" i="14"/>
  <c r="M34" i="14"/>
  <c r="N34" i="14"/>
  <c r="B34" i="14"/>
  <c r="C33" i="14"/>
  <c r="D33" i="14"/>
  <c r="F33" i="14"/>
  <c r="G33" i="14"/>
  <c r="H33" i="14"/>
  <c r="I33" i="14"/>
  <c r="N33" i="14"/>
  <c r="M30" i="13"/>
  <c r="C31" i="13"/>
  <c r="D31" i="13"/>
  <c r="F31" i="13"/>
  <c r="H31" i="13"/>
  <c r="I31" i="13"/>
  <c r="M31" i="13"/>
  <c r="N31" i="13"/>
  <c r="C30" i="13"/>
  <c r="D30" i="13"/>
  <c r="F30" i="13"/>
  <c r="H30" i="13"/>
  <c r="I30" i="13"/>
  <c r="N30" i="13"/>
  <c r="B30" i="13"/>
  <c r="I32" i="11"/>
  <c r="B32" i="11"/>
  <c r="D32" i="12"/>
  <c r="C32" i="12"/>
  <c r="C30" i="30" s="1"/>
  <c r="B32" i="12"/>
  <c r="B30" i="30" s="1"/>
  <c r="B15" i="19"/>
  <c r="B27" i="10"/>
  <c r="B33" i="11"/>
  <c r="B33" i="12"/>
  <c r="B31" i="30" s="1"/>
  <c r="M33" i="12"/>
  <c r="K31" i="30" s="1"/>
  <c r="B31" i="13"/>
  <c r="M32" i="12"/>
  <c r="O18" i="30"/>
  <c r="O5" i="30" s="1"/>
  <c r="O17" i="30"/>
  <c r="O16" i="30"/>
  <c r="O15" i="30"/>
  <c r="O13" i="30"/>
  <c r="O4" i="30" s="1"/>
  <c r="O12" i="30"/>
  <c r="O11" i="30"/>
  <c r="O10" i="30"/>
  <c r="O3" i="30"/>
  <c r="O2" i="30"/>
  <c r="L28" i="16"/>
  <c r="B42" i="30" l="1"/>
  <c r="B46" i="30"/>
  <c r="K42" i="30"/>
  <c r="D54" i="30"/>
  <c r="D58" i="30"/>
  <c r="C15" i="31"/>
  <c r="C14" i="31"/>
  <c r="B58" i="30"/>
  <c r="B50" i="30"/>
  <c r="D51" i="30"/>
  <c r="D49" i="30"/>
  <c r="B54" i="30"/>
  <c r="B51" i="30"/>
  <c r="B49" i="30"/>
  <c r="D50" i="30"/>
  <c r="K46" i="30"/>
  <c r="C27" i="16"/>
  <c r="C41" i="30" s="1"/>
  <c r="D27" i="16"/>
  <c r="F27" i="16"/>
  <c r="E41" i="30" s="1"/>
  <c r="C26" i="16"/>
  <c r="C40" i="30" s="1"/>
  <c r="D26" i="16"/>
  <c r="F26" i="16"/>
  <c r="E40" i="30" s="1"/>
  <c r="B27" i="16"/>
  <c r="B41" i="30" s="1"/>
  <c r="I27" i="16"/>
  <c r="G41" i="30" s="1"/>
  <c r="M27" i="16"/>
  <c r="K41" i="30" s="1"/>
  <c r="K43" i="30" s="1"/>
  <c r="N27" i="16"/>
  <c r="L41" i="30" s="1"/>
  <c r="I26" i="16"/>
  <c r="G40" i="30" s="1"/>
  <c r="N26" i="16"/>
  <c r="L40" i="30" s="1"/>
  <c r="H27" i="16"/>
  <c r="F41" i="30" s="1"/>
  <c r="H26" i="16"/>
  <c r="F40" i="30" s="1"/>
  <c r="J25" i="16"/>
  <c r="K25" i="16" s="1"/>
  <c r="J23" i="16"/>
  <c r="J22" i="16"/>
  <c r="J21" i="16"/>
  <c r="H21" i="16"/>
  <c r="J20" i="16"/>
  <c r="J19" i="16"/>
  <c r="K19" i="16" s="1"/>
  <c r="J18" i="16"/>
  <c r="K18" i="16" s="1"/>
  <c r="J15" i="16"/>
  <c r="J14" i="16"/>
  <c r="J13" i="16"/>
  <c r="J12" i="16"/>
  <c r="J10" i="16"/>
  <c r="K10" i="16" s="1"/>
  <c r="J7" i="16"/>
  <c r="K7" i="16" s="1"/>
  <c r="J6" i="16"/>
  <c r="J5" i="16"/>
  <c r="K5" i="16" s="1"/>
  <c r="L4" i="16"/>
  <c r="L5" i="16"/>
  <c r="L6" i="16"/>
  <c r="L7" i="16"/>
  <c r="L8" i="16"/>
  <c r="L9" i="16"/>
  <c r="L10" i="16"/>
  <c r="L27" i="16" s="1"/>
  <c r="J41" i="30" s="1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K6" i="16"/>
  <c r="K8" i="16"/>
  <c r="K9" i="16"/>
  <c r="K11" i="16"/>
  <c r="K12" i="16"/>
  <c r="K13" i="16"/>
  <c r="K14" i="16"/>
  <c r="K15" i="16"/>
  <c r="K16" i="16"/>
  <c r="K17" i="16"/>
  <c r="K20" i="16"/>
  <c r="K21" i="16"/>
  <c r="K22" i="16"/>
  <c r="K23" i="16"/>
  <c r="K24" i="16"/>
  <c r="J4" i="16"/>
  <c r="K4" i="16" s="1"/>
  <c r="L3" i="16"/>
  <c r="L26" i="16" s="1"/>
  <c r="J40" i="30" s="1"/>
  <c r="J3" i="16"/>
  <c r="K3" i="16" s="1"/>
  <c r="K26" i="16" s="1"/>
  <c r="I40" i="30" s="1"/>
  <c r="C24" i="15"/>
  <c r="C39" i="30" s="1"/>
  <c r="D24" i="15"/>
  <c r="F24" i="15"/>
  <c r="E39" i="30" s="1"/>
  <c r="H24" i="15"/>
  <c r="F39" i="30" s="1"/>
  <c r="I24" i="15"/>
  <c r="G39" i="30" s="1"/>
  <c r="M24" i="15"/>
  <c r="K39" i="30" s="1"/>
  <c r="N24" i="15"/>
  <c r="L39" i="30" s="1"/>
  <c r="C23" i="15"/>
  <c r="C38" i="30" s="1"/>
  <c r="D23" i="15"/>
  <c r="F23" i="15"/>
  <c r="E38" i="30" s="1"/>
  <c r="H23" i="15"/>
  <c r="F38" i="30" s="1"/>
  <c r="I23" i="15"/>
  <c r="G38" i="30" s="1"/>
  <c r="N23" i="15"/>
  <c r="L38" i="30" s="1"/>
  <c r="B24" i="15"/>
  <c r="B39" i="30" s="1"/>
  <c r="J21" i="15"/>
  <c r="J18" i="15"/>
  <c r="K18" i="15" s="1"/>
  <c r="J17" i="15"/>
  <c r="J16" i="15"/>
  <c r="K16" i="15" s="1"/>
  <c r="J14" i="15"/>
  <c r="K14" i="15" s="1"/>
  <c r="J13" i="15"/>
  <c r="K13" i="15" s="1"/>
  <c r="J12" i="15"/>
  <c r="K12" i="15" s="1"/>
  <c r="J11" i="15"/>
  <c r="K11" i="15" s="1"/>
  <c r="J10" i="15"/>
  <c r="J8" i="15"/>
  <c r="K8" i="15" s="1"/>
  <c r="J7" i="15"/>
  <c r="K7" i="15" s="1"/>
  <c r="J6" i="15"/>
  <c r="K6" i="15" s="1"/>
  <c r="J5" i="15"/>
  <c r="K5" i="15" s="1"/>
  <c r="J4" i="15"/>
  <c r="K4" i="15" s="1"/>
  <c r="L3" i="15"/>
  <c r="L24" i="15" s="1"/>
  <c r="J39" i="30" s="1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K3" i="15"/>
  <c r="K24" i="15" s="1"/>
  <c r="I39" i="30" s="1"/>
  <c r="K9" i="15"/>
  <c r="K10" i="15"/>
  <c r="K15" i="15"/>
  <c r="K17" i="15"/>
  <c r="K19" i="15"/>
  <c r="K20" i="15"/>
  <c r="K21" i="15"/>
  <c r="K22" i="15"/>
  <c r="B20" i="18"/>
  <c r="B37" i="30" s="1"/>
  <c r="B43" i="30" s="1"/>
  <c r="C19" i="18"/>
  <c r="D19" i="18"/>
  <c r="D20" i="18" s="1"/>
  <c r="F19" i="18"/>
  <c r="G19" i="18"/>
  <c r="G20" i="18" s="1"/>
  <c r="H19" i="18"/>
  <c r="I19" i="18"/>
  <c r="M20" i="18"/>
  <c r="K37" i="30" s="1"/>
  <c r="K47" i="30" s="1"/>
  <c r="N19" i="18"/>
  <c r="J18" i="18"/>
  <c r="K18" i="18" s="1"/>
  <c r="J15" i="18"/>
  <c r="J12" i="18"/>
  <c r="K12" i="18" s="1"/>
  <c r="J11" i="18"/>
  <c r="K11" i="18" s="1"/>
  <c r="J10" i="18"/>
  <c r="K10" i="18" s="1"/>
  <c r="J6" i="18"/>
  <c r="K6" i="18" s="1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K7" i="18"/>
  <c r="K8" i="18"/>
  <c r="K9" i="18"/>
  <c r="K13" i="18"/>
  <c r="K14" i="18"/>
  <c r="K15" i="18"/>
  <c r="K16" i="18"/>
  <c r="K17" i="18"/>
  <c r="J5" i="18"/>
  <c r="K5" i="18" s="1"/>
  <c r="J32" i="14"/>
  <c r="J31" i="14"/>
  <c r="J30" i="14"/>
  <c r="J29" i="14"/>
  <c r="J28" i="14"/>
  <c r="K28" i="14" s="1"/>
  <c r="J27" i="14"/>
  <c r="K27" i="14" s="1"/>
  <c r="J26" i="14"/>
  <c r="J25" i="14"/>
  <c r="J24" i="14"/>
  <c r="J23" i="14"/>
  <c r="J22" i="14"/>
  <c r="J21" i="14"/>
  <c r="J20" i="14"/>
  <c r="K20" i="14" s="1"/>
  <c r="J19" i="14"/>
  <c r="K19" i="14" s="1"/>
  <c r="J18" i="14"/>
  <c r="J17" i="14"/>
  <c r="J16" i="14"/>
  <c r="J15" i="14"/>
  <c r="J14" i="14"/>
  <c r="J13" i="14"/>
  <c r="J12" i="14"/>
  <c r="K12" i="14" s="1"/>
  <c r="J11" i="14"/>
  <c r="K11" i="14" s="1"/>
  <c r="J10" i="14"/>
  <c r="J9" i="14"/>
  <c r="J8" i="14"/>
  <c r="J7" i="14"/>
  <c r="J6" i="14"/>
  <c r="J5" i="14"/>
  <c r="J4" i="14"/>
  <c r="K4" i="14" s="1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K5" i="14"/>
  <c r="K6" i="14"/>
  <c r="K7" i="14"/>
  <c r="K8" i="14"/>
  <c r="K9" i="14"/>
  <c r="K10" i="14"/>
  <c r="K13" i="14"/>
  <c r="K14" i="14"/>
  <c r="K15" i="14"/>
  <c r="K16" i="14"/>
  <c r="K17" i="14"/>
  <c r="K18" i="14"/>
  <c r="K21" i="14"/>
  <c r="K22" i="14"/>
  <c r="K23" i="14"/>
  <c r="K24" i="14"/>
  <c r="K25" i="14"/>
  <c r="K26" i="14"/>
  <c r="K29" i="14"/>
  <c r="K30" i="14"/>
  <c r="K31" i="14"/>
  <c r="K32" i="14"/>
  <c r="L3" i="14"/>
  <c r="J3" i="14"/>
  <c r="J29" i="13"/>
  <c r="J28" i="13"/>
  <c r="J27" i="13"/>
  <c r="K27" i="13" s="1"/>
  <c r="J26" i="13"/>
  <c r="K26" i="13" s="1"/>
  <c r="J25" i="13"/>
  <c r="J24" i="13"/>
  <c r="J22" i="13"/>
  <c r="J21" i="13"/>
  <c r="J20" i="13"/>
  <c r="J19" i="13"/>
  <c r="J18" i="13"/>
  <c r="K18" i="13" s="1"/>
  <c r="J17" i="13"/>
  <c r="K17" i="13" s="1"/>
  <c r="J16" i="13"/>
  <c r="J15" i="13"/>
  <c r="J14" i="13"/>
  <c r="J13" i="13"/>
  <c r="J12" i="13"/>
  <c r="J11" i="13"/>
  <c r="J10" i="13"/>
  <c r="K10" i="13" s="1"/>
  <c r="J9" i="13"/>
  <c r="K9" i="13" s="1"/>
  <c r="J8" i="13"/>
  <c r="J7" i="13"/>
  <c r="J6" i="13"/>
  <c r="K6" i="13" s="1"/>
  <c r="J5" i="13"/>
  <c r="K5" i="13" s="1"/>
  <c r="J4" i="13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K4" i="13"/>
  <c r="K7" i="13"/>
  <c r="K8" i="13"/>
  <c r="K11" i="13"/>
  <c r="K12" i="13"/>
  <c r="K13" i="13"/>
  <c r="K14" i="13"/>
  <c r="K15" i="13"/>
  <c r="K16" i="13"/>
  <c r="K19" i="13"/>
  <c r="K20" i="13"/>
  <c r="K21" i="13"/>
  <c r="K22" i="13"/>
  <c r="K23" i="13"/>
  <c r="K24" i="13"/>
  <c r="K25" i="13"/>
  <c r="K28" i="13"/>
  <c r="K29" i="13"/>
  <c r="L3" i="13"/>
  <c r="K3" i="13"/>
  <c r="J3" i="13"/>
  <c r="D33" i="12"/>
  <c r="F33" i="12"/>
  <c r="E31" i="30" s="1"/>
  <c r="H33" i="12"/>
  <c r="F31" i="30" s="1"/>
  <c r="I33" i="12"/>
  <c r="G31" i="30" s="1"/>
  <c r="N33" i="12"/>
  <c r="L31" i="30" s="1"/>
  <c r="F32" i="12"/>
  <c r="E30" i="30" s="1"/>
  <c r="H32" i="12"/>
  <c r="F30" i="30" s="1"/>
  <c r="I32" i="12"/>
  <c r="G30" i="30" s="1"/>
  <c r="N32" i="12"/>
  <c r="L30" i="30" s="1"/>
  <c r="C33" i="12"/>
  <c r="C31" i="30" s="1"/>
  <c r="J31" i="12"/>
  <c r="J30" i="12"/>
  <c r="J29" i="12"/>
  <c r="J28" i="12"/>
  <c r="K28" i="12" s="1"/>
  <c r="L27" i="12"/>
  <c r="J26" i="12"/>
  <c r="J27" i="12"/>
  <c r="K27" i="12" s="1"/>
  <c r="J25" i="12"/>
  <c r="J24" i="12"/>
  <c r="J23" i="12"/>
  <c r="K23" i="12" s="1"/>
  <c r="J22" i="12"/>
  <c r="K22" i="12" s="1"/>
  <c r="J21" i="12"/>
  <c r="J20" i="12"/>
  <c r="K20" i="12" s="1"/>
  <c r="J19" i="12"/>
  <c r="J18" i="12"/>
  <c r="K18" i="12" s="1"/>
  <c r="J17" i="12"/>
  <c r="J16" i="12"/>
  <c r="J15" i="12"/>
  <c r="K15" i="12" s="1"/>
  <c r="J14" i="12"/>
  <c r="K14" i="12" s="1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8" i="12"/>
  <c r="L29" i="12"/>
  <c r="L30" i="12"/>
  <c r="L31" i="12"/>
  <c r="L4" i="12"/>
  <c r="L32" i="12" s="1"/>
  <c r="J30" i="30" s="1"/>
  <c r="K6" i="12"/>
  <c r="K10" i="12"/>
  <c r="K16" i="12"/>
  <c r="K17" i="12"/>
  <c r="K19" i="12"/>
  <c r="K21" i="12"/>
  <c r="K24" i="12"/>
  <c r="K25" i="12"/>
  <c r="K29" i="12"/>
  <c r="K30" i="12"/>
  <c r="K31" i="12"/>
  <c r="J13" i="12"/>
  <c r="K13" i="12" s="1"/>
  <c r="J12" i="12"/>
  <c r="K12" i="12" s="1"/>
  <c r="J11" i="12"/>
  <c r="K11" i="12" s="1"/>
  <c r="J10" i="12"/>
  <c r="J9" i="12"/>
  <c r="K9" i="12" s="1"/>
  <c r="J8" i="12"/>
  <c r="K8" i="12" s="1"/>
  <c r="J7" i="12"/>
  <c r="K7" i="12" s="1"/>
  <c r="J6" i="12"/>
  <c r="J5" i="12"/>
  <c r="K5" i="12" s="1"/>
  <c r="J4" i="12"/>
  <c r="J33" i="12" s="1"/>
  <c r="H31" i="30" s="1"/>
  <c r="B57" i="30" l="1"/>
  <c r="B53" i="30"/>
  <c r="D57" i="30"/>
  <c r="D53" i="30"/>
  <c r="G46" i="30"/>
  <c r="E43" i="30"/>
  <c r="L23" i="15"/>
  <c r="J38" i="30" s="1"/>
  <c r="K27" i="16"/>
  <c r="I41" i="30" s="1"/>
  <c r="F20" i="18"/>
  <c r="E37" i="30" s="1"/>
  <c r="E36" i="30"/>
  <c r="E42" i="30"/>
  <c r="C20" i="18"/>
  <c r="C37" i="30" s="1"/>
  <c r="C47" i="30" s="1"/>
  <c r="C36" i="30"/>
  <c r="K23" i="15"/>
  <c r="I38" i="30" s="1"/>
  <c r="J27" i="16"/>
  <c r="H41" i="30" s="1"/>
  <c r="L43" i="30"/>
  <c r="J33" i="14"/>
  <c r="J34" i="14"/>
  <c r="N20" i="18"/>
  <c r="L37" i="30" s="1"/>
  <c r="L36" i="30"/>
  <c r="L46" i="30" s="1"/>
  <c r="B47" i="30"/>
  <c r="J23" i="15"/>
  <c r="H38" i="30" s="1"/>
  <c r="L47" i="30"/>
  <c r="F42" i="30"/>
  <c r="L42" i="30"/>
  <c r="L33" i="12"/>
  <c r="J31" i="30" s="1"/>
  <c r="J30" i="13"/>
  <c r="J31" i="13"/>
  <c r="K3" i="14"/>
  <c r="J26" i="16"/>
  <c r="H40" i="30" s="1"/>
  <c r="E46" i="30"/>
  <c r="C43" i="30"/>
  <c r="K30" i="13"/>
  <c r="K31" i="13"/>
  <c r="L33" i="14"/>
  <c r="L34" i="14"/>
  <c r="K19" i="18"/>
  <c r="I36" i="30" s="1"/>
  <c r="I20" i="18"/>
  <c r="G37" i="30" s="1"/>
  <c r="G43" i="30" s="1"/>
  <c r="G36" i="30"/>
  <c r="E47" i="30"/>
  <c r="G42" i="30"/>
  <c r="K4" i="12"/>
  <c r="J32" i="12"/>
  <c r="H30" i="30" s="1"/>
  <c r="L30" i="13"/>
  <c r="L31" i="13"/>
  <c r="H20" i="18"/>
  <c r="F37" i="30" s="1"/>
  <c r="F43" i="30" s="1"/>
  <c r="F36" i="30"/>
  <c r="F46" i="30" s="1"/>
  <c r="J24" i="15"/>
  <c r="H39" i="30" s="1"/>
  <c r="L20" i="18"/>
  <c r="J37" i="30" s="1"/>
  <c r="L19" i="18"/>
  <c r="J36" i="30" s="1"/>
  <c r="J46" i="30" s="1"/>
  <c r="J19" i="18"/>
  <c r="H32" i="11"/>
  <c r="I27" i="10"/>
  <c r="H27" i="10"/>
  <c r="I9" i="22"/>
  <c r="H9" i="22"/>
  <c r="I11" i="21"/>
  <c r="H11" i="21"/>
  <c r="I15" i="19"/>
  <c r="H15" i="19"/>
  <c r="I13" i="9"/>
  <c r="H13" i="9"/>
  <c r="I13" i="8"/>
  <c r="H13" i="8"/>
  <c r="I11" i="7"/>
  <c r="H11" i="7"/>
  <c r="I14" i="5"/>
  <c r="H14" i="5"/>
  <c r="I17" i="4"/>
  <c r="H17" i="4"/>
  <c r="I27" i="3"/>
  <c r="H27" i="3"/>
  <c r="I22" i="2"/>
  <c r="H22" i="2"/>
  <c r="H31" i="1"/>
  <c r="I19" i="6"/>
  <c r="H19" i="6"/>
  <c r="K20" i="18" l="1"/>
  <c r="I37" i="30" s="1"/>
  <c r="K33" i="14"/>
  <c r="K34" i="14"/>
  <c r="J42" i="30"/>
  <c r="J20" i="18"/>
  <c r="H37" i="30" s="1"/>
  <c r="H36" i="30"/>
  <c r="H42" i="30"/>
  <c r="H46" i="30"/>
  <c r="B59" i="30"/>
  <c r="B55" i="30"/>
  <c r="D55" i="30"/>
  <c r="D59" i="30"/>
  <c r="C42" i="30"/>
  <c r="C46" i="30"/>
  <c r="G47" i="30"/>
  <c r="K32" i="12"/>
  <c r="I30" i="30" s="1"/>
  <c r="K33" i="12"/>
  <c r="I31" i="30" s="1"/>
  <c r="J43" i="30"/>
  <c r="J47" i="30"/>
  <c r="F47" i="30"/>
  <c r="P15" i="3"/>
  <c r="H47" i="30" l="1"/>
  <c r="H43" i="30"/>
  <c r="I42" i="30"/>
  <c r="I46" i="30"/>
  <c r="I43" i="30"/>
  <c r="I47" i="30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" i="14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" i="13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4" i="12"/>
  <c r="E5" i="11"/>
  <c r="E32" i="11" s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33" i="11" s="1"/>
  <c r="E28" i="11"/>
  <c r="E29" i="11"/>
  <c r="E30" i="11"/>
  <c r="E31" i="11"/>
  <c r="E4" i="1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5" i="10"/>
  <c r="E28" i="10" s="1"/>
  <c r="E5" i="22"/>
  <c r="E9" i="22" s="1"/>
  <c r="E6" i="22"/>
  <c r="E7" i="22"/>
  <c r="E8" i="22"/>
  <c r="E4" i="22"/>
  <c r="E10" i="22" s="1"/>
  <c r="E5" i="21"/>
  <c r="E6" i="21"/>
  <c r="E7" i="21"/>
  <c r="E8" i="21"/>
  <c r="E9" i="21"/>
  <c r="E10" i="21"/>
  <c r="E4" i="21"/>
  <c r="E12" i="21" s="1"/>
  <c r="E7" i="19"/>
  <c r="E8" i="19"/>
  <c r="E9" i="19"/>
  <c r="E10" i="19"/>
  <c r="E11" i="19"/>
  <c r="E12" i="19"/>
  <c r="E13" i="19"/>
  <c r="E14" i="19"/>
  <c r="E6" i="19"/>
  <c r="E16" i="19" s="1"/>
  <c r="E6" i="9"/>
  <c r="E7" i="9"/>
  <c r="E8" i="9"/>
  <c r="E9" i="9"/>
  <c r="E10" i="9"/>
  <c r="E11" i="9"/>
  <c r="E12" i="9"/>
  <c r="E5" i="9"/>
  <c r="E14" i="9" s="1"/>
  <c r="E14" i="8"/>
  <c r="E6" i="8"/>
  <c r="E7" i="8"/>
  <c r="E8" i="8"/>
  <c r="E9" i="8"/>
  <c r="E10" i="8"/>
  <c r="E11" i="8"/>
  <c r="E12" i="8"/>
  <c r="E5" i="8"/>
  <c r="E13" i="8" s="1"/>
  <c r="E4" i="7"/>
  <c r="E5" i="7"/>
  <c r="E6" i="7"/>
  <c r="E7" i="7"/>
  <c r="E8" i="7"/>
  <c r="E9" i="7"/>
  <c r="E10" i="7"/>
  <c r="E3" i="7"/>
  <c r="E12" i="7" s="1"/>
  <c r="E5" i="5"/>
  <c r="E6" i="5"/>
  <c r="E7" i="5"/>
  <c r="E8" i="5"/>
  <c r="E9" i="5"/>
  <c r="E10" i="5"/>
  <c r="E11" i="5"/>
  <c r="E12" i="5"/>
  <c r="E13" i="5"/>
  <c r="E4" i="5"/>
  <c r="E15" i="5" s="1"/>
  <c r="E18" i="4"/>
  <c r="E5" i="4"/>
  <c r="E6" i="4"/>
  <c r="E7" i="4"/>
  <c r="E8" i="4"/>
  <c r="E17" i="4" s="1"/>
  <c r="E9" i="4"/>
  <c r="E10" i="4"/>
  <c r="E11" i="4"/>
  <c r="E12" i="4"/>
  <c r="E13" i="4"/>
  <c r="E14" i="4"/>
  <c r="E15" i="4"/>
  <c r="E16" i="4"/>
  <c r="E4" i="4"/>
  <c r="F27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4" i="3"/>
  <c r="F28" i="3" s="1"/>
  <c r="E5" i="2"/>
  <c r="E6" i="2"/>
  <c r="E7" i="2"/>
  <c r="E8" i="2"/>
  <c r="E9" i="2"/>
  <c r="E10" i="2"/>
  <c r="E11" i="2"/>
  <c r="E23" i="2" s="1"/>
  <c r="E12" i="2"/>
  <c r="E13" i="2"/>
  <c r="E14" i="2"/>
  <c r="E15" i="2"/>
  <c r="E16" i="2"/>
  <c r="E17" i="2"/>
  <c r="E18" i="2"/>
  <c r="E19" i="2"/>
  <c r="E20" i="2"/>
  <c r="E21" i="2"/>
  <c r="E4" i="2"/>
  <c r="E22" i="2" s="1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7" i="3"/>
  <c r="K6" i="3"/>
  <c r="K5" i="3"/>
  <c r="K4" i="3"/>
  <c r="K30" i="1"/>
  <c r="K28" i="1"/>
  <c r="K27" i="1"/>
  <c r="K26" i="1"/>
  <c r="K25" i="1"/>
  <c r="K24" i="1"/>
  <c r="K21" i="1"/>
  <c r="K20" i="1"/>
  <c r="K19" i="1"/>
  <c r="K18" i="1"/>
  <c r="K16" i="1"/>
  <c r="K12" i="1"/>
  <c r="K9" i="1"/>
  <c r="J30" i="1"/>
  <c r="J29" i="1"/>
  <c r="J27" i="1"/>
  <c r="J26" i="1"/>
  <c r="J23" i="1"/>
  <c r="J22" i="1"/>
  <c r="J19" i="1"/>
  <c r="J18" i="1"/>
  <c r="J17" i="1"/>
  <c r="J15" i="1"/>
  <c r="J14" i="1"/>
  <c r="J13" i="1"/>
  <c r="J12" i="1"/>
  <c r="J11" i="1"/>
  <c r="J10" i="1"/>
  <c r="J8" i="1"/>
  <c r="D23" i="2"/>
  <c r="F23" i="2"/>
  <c r="D22" i="2"/>
  <c r="F22" i="2"/>
  <c r="B28" i="3"/>
  <c r="C28" i="3"/>
  <c r="D28" i="3"/>
  <c r="E28" i="3"/>
  <c r="B27" i="3"/>
  <c r="C27" i="3"/>
  <c r="D27" i="3"/>
  <c r="E27" i="3"/>
  <c r="I28" i="3"/>
  <c r="L28" i="3"/>
  <c r="M28" i="3"/>
  <c r="N28" i="3"/>
  <c r="H28" i="3"/>
  <c r="L27" i="3"/>
  <c r="M27" i="3"/>
  <c r="N27" i="3"/>
  <c r="B18" i="4"/>
  <c r="C18" i="4"/>
  <c r="D18" i="4"/>
  <c r="F18" i="4"/>
  <c r="B17" i="4"/>
  <c r="C17" i="4"/>
  <c r="D17" i="4"/>
  <c r="F17" i="4"/>
  <c r="I18" i="4"/>
  <c r="L18" i="4"/>
  <c r="M18" i="4"/>
  <c r="N18" i="4"/>
  <c r="H18" i="4"/>
  <c r="L17" i="4"/>
  <c r="M17" i="4"/>
  <c r="N17" i="4"/>
  <c r="K15" i="4"/>
  <c r="K14" i="4"/>
  <c r="K13" i="4"/>
  <c r="K12" i="4"/>
  <c r="K9" i="4"/>
  <c r="K8" i="4"/>
  <c r="K5" i="4"/>
  <c r="K17" i="4" s="1"/>
  <c r="B15" i="5"/>
  <c r="C15" i="5"/>
  <c r="D15" i="5"/>
  <c r="F15" i="5"/>
  <c r="B14" i="5"/>
  <c r="C14" i="5"/>
  <c r="D14" i="5"/>
  <c r="F14" i="5"/>
  <c r="J11" i="5"/>
  <c r="J14" i="5" s="1"/>
  <c r="J10" i="5"/>
  <c r="J9" i="5"/>
  <c r="J7" i="5"/>
  <c r="J6" i="5"/>
  <c r="J5" i="5"/>
  <c r="J4" i="5"/>
  <c r="I15" i="5"/>
  <c r="J15" i="5"/>
  <c r="L15" i="5"/>
  <c r="M15" i="5"/>
  <c r="N15" i="5"/>
  <c r="L14" i="5"/>
  <c r="M14" i="5"/>
  <c r="N14" i="5"/>
  <c r="H15" i="5"/>
  <c r="B12" i="7"/>
  <c r="C12" i="7"/>
  <c r="D12" i="7"/>
  <c r="F12" i="7"/>
  <c r="B11" i="7"/>
  <c r="C11" i="7"/>
  <c r="D11" i="7"/>
  <c r="F11" i="7"/>
  <c r="J10" i="7"/>
  <c r="J9" i="7"/>
  <c r="J8" i="7"/>
  <c r="K7" i="7"/>
  <c r="K6" i="7"/>
  <c r="K4" i="7"/>
  <c r="K3" i="7"/>
  <c r="J5" i="7"/>
  <c r="B14" i="8"/>
  <c r="C14" i="8"/>
  <c r="D14" i="8"/>
  <c r="F14" i="8"/>
  <c r="B13" i="8"/>
  <c r="C13" i="8"/>
  <c r="D13" i="8"/>
  <c r="F13" i="8"/>
  <c r="B14" i="9"/>
  <c r="C14" i="9"/>
  <c r="D14" i="9"/>
  <c r="F14" i="9"/>
  <c r="B13" i="9"/>
  <c r="C13" i="9"/>
  <c r="D13" i="9"/>
  <c r="F13" i="9"/>
  <c r="J13" i="19"/>
  <c r="B16" i="19"/>
  <c r="C16" i="19"/>
  <c r="D16" i="19"/>
  <c r="F16" i="19"/>
  <c r="C15" i="19"/>
  <c r="D15" i="19"/>
  <c r="F15" i="19"/>
  <c r="B12" i="21"/>
  <c r="C12" i="21"/>
  <c r="D12" i="21"/>
  <c r="F12" i="21"/>
  <c r="B11" i="21"/>
  <c r="C11" i="21"/>
  <c r="D11" i="21"/>
  <c r="F11" i="21"/>
  <c r="B10" i="22"/>
  <c r="C10" i="22"/>
  <c r="D10" i="22"/>
  <c r="F10" i="22"/>
  <c r="B9" i="22"/>
  <c r="C9" i="22"/>
  <c r="D9" i="22"/>
  <c r="F9" i="22"/>
  <c r="B28" i="10"/>
  <c r="C28" i="10"/>
  <c r="D28" i="10"/>
  <c r="F28" i="10"/>
  <c r="C27" i="10"/>
  <c r="D27" i="10"/>
  <c r="F27" i="10"/>
  <c r="C33" i="11"/>
  <c r="D33" i="11"/>
  <c r="F33" i="11"/>
  <c r="C32" i="11"/>
  <c r="D32" i="11"/>
  <c r="F32" i="11"/>
  <c r="I33" i="11"/>
  <c r="L33" i="11"/>
  <c r="M33" i="11"/>
  <c r="N33" i="11"/>
  <c r="H33" i="11"/>
  <c r="K32" i="11"/>
  <c r="L32" i="11"/>
  <c r="M32" i="11"/>
  <c r="N32" i="11"/>
  <c r="K31" i="11"/>
  <c r="K30" i="11"/>
  <c r="K29" i="11"/>
  <c r="K28" i="11"/>
  <c r="K27" i="11"/>
  <c r="K33" i="11" s="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I28" i="10"/>
  <c r="L28" i="10"/>
  <c r="M28" i="10"/>
  <c r="N28" i="10"/>
  <c r="L27" i="10"/>
  <c r="M27" i="10"/>
  <c r="N27" i="10"/>
  <c r="H28" i="10"/>
  <c r="K10" i="21"/>
  <c r="K9" i="21"/>
  <c r="K7" i="21"/>
  <c r="J9" i="21"/>
  <c r="J8" i="21"/>
  <c r="J7" i="21"/>
  <c r="J6" i="21"/>
  <c r="J5" i="21"/>
  <c r="J4" i="21"/>
  <c r="K14" i="19"/>
  <c r="K13" i="19"/>
  <c r="K12" i="19"/>
  <c r="K11" i="19"/>
  <c r="K10" i="19"/>
  <c r="K9" i="19"/>
  <c r="K8" i="19"/>
  <c r="K7" i="19"/>
  <c r="K6" i="19"/>
  <c r="I12" i="21"/>
  <c r="L12" i="21"/>
  <c r="M12" i="21"/>
  <c r="N12" i="21"/>
  <c r="L11" i="21"/>
  <c r="M11" i="21"/>
  <c r="N11" i="21"/>
  <c r="H12" i="21"/>
  <c r="K8" i="22"/>
  <c r="K7" i="22"/>
  <c r="K6" i="22"/>
  <c r="K5" i="22"/>
  <c r="K4" i="22"/>
  <c r="I10" i="22"/>
  <c r="L10" i="22"/>
  <c r="M10" i="22"/>
  <c r="N10" i="22"/>
  <c r="H10" i="22"/>
  <c r="J9" i="22"/>
  <c r="L9" i="22"/>
  <c r="M9" i="22"/>
  <c r="N9" i="22"/>
  <c r="J8" i="22"/>
  <c r="J7" i="22"/>
  <c r="J5" i="22"/>
  <c r="J4" i="22"/>
  <c r="J10" i="22" s="1"/>
  <c r="K18" i="4" l="1"/>
  <c r="E13" i="9"/>
  <c r="E23" i="15"/>
  <c r="D38" i="30" s="1"/>
  <c r="E24" i="15"/>
  <c r="D39" i="30" s="1"/>
  <c r="E31" i="13"/>
  <c r="E30" i="13"/>
  <c r="E14" i="5"/>
  <c r="E34" i="14"/>
  <c r="E33" i="14"/>
  <c r="E26" i="16"/>
  <c r="D40" i="30" s="1"/>
  <c r="E27" i="16"/>
  <c r="D41" i="30" s="1"/>
  <c r="E15" i="19"/>
  <c r="E27" i="10"/>
  <c r="E33" i="12"/>
  <c r="D31" i="30" s="1"/>
  <c r="E32" i="12"/>
  <c r="D30" i="30" s="1"/>
  <c r="K10" i="22"/>
  <c r="E11" i="7"/>
  <c r="E11" i="21"/>
  <c r="E19" i="18"/>
  <c r="K27" i="3"/>
  <c r="K28" i="3"/>
  <c r="K28" i="10"/>
  <c r="K27" i="10"/>
  <c r="K9" i="22"/>
  <c r="J10" i="21"/>
  <c r="J11" i="21" s="1"/>
  <c r="K8" i="21"/>
  <c r="K6" i="21"/>
  <c r="K5" i="21"/>
  <c r="K4" i="21"/>
  <c r="K12" i="21" s="1"/>
  <c r="I16" i="19"/>
  <c r="K16" i="19"/>
  <c r="L16" i="19"/>
  <c r="M16" i="19"/>
  <c r="N16" i="19"/>
  <c r="K15" i="19"/>
  <c r="L15" i="19"/>
  <c r="M15" i="19"/>
  <c r="N15" i="19"/>
  <c r="H16" i="19"/>
  <c r="J14" i="19"/>
  <c r="J12" i="19"/>
  <c r="J11" i="19"/>
  <c r="J10" i="19"/>
  <c r="J15" i="19" s="1"/>
  <c r="J9" i="19"/>
  <c r="J8" i="19"/>
  <c r="J7" i="19"/>
  <c r="J6" i="19"/>
  <c r="J16" i="19" s="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7" i="11"/>
  <c r="J16" i="11"/>
  <c r="J15" i="11"/>
  <c r="J14" i="11"/>
  <c r="J13" i="11"/>
  <c r="J12" i="11"/>
  <c r="J11" i="11"/>
  <c r="J10" i="11"/>
  <c r="J9" i="11"/>
  <c r="J7" i="11"/>
  <c r="J5" i="11"/>
  <c r="J4" i="11"/>
  <c r="H10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9" i="10"/>
  <c r="J8" i="10"/>
  <c r="J7" i="10"/>
  <c r="J6" i="10"/>
  <c r="J5" i="10"/>
  <c r="K12" i="9"/>
  <c r="K11" i="9"/>
  <c r="K10" i="9"/>
  <c r="K9" i="9"/>
  <c r="K8" i="9"/>
  <c r="K7" i="9"/>
  <c r="K6" i="9"/>
  <c r="K5" i="9"/>
  <c r="I14" i="9"/>
  <c r="L14" i="9"/>
  <c r="M14" i="9"/>
  <c r="N14" i="9"/>
  <c r="H14" i="9"/>
  <c r="L13" i="9"/>
  <c r="M13" i="9"/>
  <c r="N13" i="9"/>
  <c r="J12" i="9"/>
  <c r="J11" i="9"/>
  <c r="J10" i="9"/>
  <c r="J9" i="9"/>
  <c r="J8" i="9"/>
  <c r="J6" i="9"/>
  <c r="J7" i="9"/>
  <c r="J5" i="9"/>
  <c r="J13" i="9" s="1"/>
  <c r="K12" i="8"/>
  <c r="K11" i="8"/>
  <c r="K10" i="8"/>
  <c r="K9" i="8"/>
  <c r="K8" i="8"/>
  <c r="K7" i="8"/>
  <c r="K6" i="8"/>
  <c r="K5" i="8"/>
  <c r="I14" i="8"/>
  <c r="L14" i="8"/>
  <c r="M14" i="8"/>
  <c r="N14" i="8"/>
  <c r="H14" i="8"/>
  <c r="L13" i="8"/>
  <c r="M13" i="8"/>
  <c r="N13" i="8"/>
  <c r="J12" i="8"/>
  <c r="J11" i="8"/>
  <c r="J10" i="8"/>
  <c r="J9" i="8"/>
  <c r="J8" i="8"/>
  <c r="J7" i="8"/>
  <c r="J6" i="8"/>
  <c r="J5" i="8"/>
  <c r="J14" i="8" s="1"/>
  <c r="J14" i="9" l="1"/>
  <c r="J32" i="11"/>
  <c r="E20" i="18"/>
  <c r="D37" i="30" s="1"/>
  <c r="D47" i="30" s="1"/>
  <c r="D36" i="30"/>
  <c r="D42" i="30" s="1"/>
  <c r="J12" i="21"/>
  <c r="J13" i="8"/>
  <c r="K11" i="21"/>
  <c r="J27" i="10"/>
  <c r="J28" i="10"/>
  <c r="K13" i="8"/>
  <c r="J33" i="11"/>
  <c r="K14" i="9"/>
  <c r="K13" i="9"/>
  <c r="K14" i="8"/>
  <c r="I12" i="7"/>
  <c r="L12" i="7"/>
  <c r="M12" i="7"/>
  <c r="N12" i="7"/>
  <c r="J11" i="7"/>
  <c r="L11" i="7"/>
  <c r="M11" i="7"/>
  <c r="N11" i="7"/>
  <c r="H12" i="7"/>
  <c r="K10" i="7"/>
  <c r="K9" i="7"/>
  <c r="K12" i="7" s="1"/>
  <c r="J7" i="7"/>
  <c r="K8" i="7"/>
  <c r="J6" i="7"/>
  <c r="K5" i="7"/>
  <c r="K11" i="7" s="1"/>
  <c r="J4" i="7"/>
  <c r="J3" i="7"/>
  <c r="J12" i="7" s="1"/>
  <c r="K11" i="5"/>
  <c r="K10" i="5"/>
  <c r="K9" i="5"/>
  <c r="K7" i="5"/>
  <c r="K6" i="5"/>
  <c r="K5" i="5"/>
  <c r="K4" i="5"/>
  <c r="J14" i="4"/>
  <c r="J15" i="4"/>
  <c r="J13" i="4"/>
  <c r="J12" i="4"/>
  <c r="J9" i="4"/>
  <c r="J8" i="4"/>
  <c r="J5" i="4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7" i="3"/>
  <c r="J6" i="3"/>
  <c r="J5" i="3"/>
  <c r="J4" i="3"/>
  <c r="I23" i="2"/>
  <c r="L23" i="2"/>
  <c r="M23" i="2"/>
  <c r="N23" i="2"/>
  <c r="H23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23" i="2" s="1"/>
  <c r="L22" i="2"/>
  <c r="M22" i="2"/>
  <c r="N22" i="2"/>
  <c r="J21" i="2"/>
  <c r="J20" i="2"/>
  <c r="J19" i="2"/>
  <c r="J18" i="2"/>
  <c r="J17" i="2"/>
  <c r="J16" i="2"/>
  <c r="J15" i="2"/>
  <c r="J14" i="2"/>
  <c r="J13" i="2"/>
  <c r="J12" i="2"/>
  <c r="J11" i="2"/>
  <c r="J10" i="2"/>
  <c r="J8" i="2"/>
  <c r="J9" i="2"/>
  <c r="J7" i="2"/>
  <c r="J6" i="2"/>
  <c r="J4" i="2"/>
  <c r="J23" i="2" s="1"/>
  <c r="J5" i="2"/>
  <c r="J18" i="6"/>
  <c r="J17" i="6"/>
  <c r="K15" i="5" l="1"/>
  <c r="K14" i="5"/>
  <c r="J22" i="2"/>
  <c r="J17" i="4"/>
  <c r="J18" i="4"/>
  <c r="D46" i="30"/>
  <c r="J27" i="3"/>
  <c r="J28" i="3"/>
  <c r="D43" i="30"/>
  <c r="K22" i="2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4" i="6"/>
  <c r="D20" i="6"/>
  <c r="D19" i="6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4" i="1"/>
  <c r="E32" i="1"/>
  <c r="E31" i="1"/>
  <c r="C20" i="6"/>
  <c r="C19" i="6"/>
  <c r="D32" i="1"/>
  <c r="D31" i="1"/>
  <c r="F20" i="6"/>
  <c r="F19" i="6"/>
  <c r="F32" i="1" l="1"/>
  <c r="E19" i="6"/>
  <c r="E20" i="6"/>
  <c r="F31" i="1"/>
  <c r="L31" i="1"/>
  <c r="N31" i="1"/>
  <c r="L32" i="1"/>
  <c r="N32" i="1"/>
  <c r="H32" i="1"/>
  <c r="I20" i="6"/>
  <c r="L20" i="6"/>
  <c r="M20" i="6"/>
  <c r="N20" i="6"/>
  <c r="L19" i="6"/>
  <c r="M19" i="6"/>
  <c r="N19" i="6"/>
  <c r="H20" i="6"/>
  <c r="J16" i="6" l="1"/>
  <c r="K16" i="6" s="1"/>
  <c r="J15" i="6"/>
  <c r="K15" i="6" s="1"/>
  <c r="J11" i="6"/>
  <c r="K11" i="6" s="1"/>
  <c r="J14" i="6"/>
  <c r="J13" i="6"/>
  <c r="K13" i="6" s="1"/>
  <c r="J12" i="6"/>
  <c r="K12" i="6" s="1"/>
  <c r="J10" i="6"/>
  <c r="K10" i="6" s="1"/>
  <c r="J9" i="6"/>
  <c r="K9" i="6" s="1"/>
  <c r="J8" i="6"/>
  <c r="J7" i="6"/>
  <c r="K7" i="6" s="1"/>
  <c r="J6" i="6"/>
  <c r="K6" i="6" s="1"/>
  <c r="J5" i="6"/>
  <c r="K5" i="6" s="1"/>
  <c r="K8" i="6"/>
  <c r="K14" i="6"/>
  <c r="K17" i="6"/>
  <c r="K18" i="6"/>
  <c r="J4" i="6"/>
  <c r="K4" i="6" s="1"/>
  <c r="K29" i="1"/>
  <c r="J28" i="1"/>
  <c r="J25" i="1"/>
  <c r="J24" i="1"/>
  <c r="K23" i="1"/>
  <c r="K22" i="1"/>
  <c r="J21" i="1"/>
  <c r="J20" i="1"/>
  <c r="K17" i="1"/>
  <c r="J16" i="1"/>
  <c r="K15" i="1"/>
  <c r="K14" i="1"/>
  <c r="K13" i="1"/>
  <c r="K11" i="1"/>
  <c r="K10" i="1"/>
  <c r="J9" i="1"/>
  <c r="K8" i="1"/>
  <c r="K6" i="1"/>
  <c r="J7" i="1"/>
  <c r="J6" i="1"/>
  <c r="K7" i="1"/>
  <c r="K5" i="1"/>
  <c r="J5" i="1"/>
  <c r="J4" i="1"/>
  <c r="I4" i="1"/>
  <c r="I31" i="1" s="1"/>
  <c r="M4" i="1"/>
  <c r="K4" i="1"/>
  <c r="B18" i="19"/>
  <c r="B35" i="14"/>
  <c r="B20" i="6"/>
  <c r="B19" i="6"/>
  <c r="C23" i="2"/>
  <c r="B23" i="2"/>
  <c r="C22" i="2"/>
  <c r="B22" i="2"/>
  <c r="B32" i="1"/>
  <c r="B31" i="1"/>
  <c r="B33" i="13" l="1"/>
  <c r="B28" i="16"/>
  <c r="B29" i="16"/>
  <c r="B22" i="18"/>
  <c r="B36" i="14"/>
  <c r="B34" i="12"/>
  <c r="B35" i="12"/>
  <c r="J19" i="6"/>
  <c r="J20" i="6"/>
  <c r="M31" i="1"/>
  <c r="M32" i="1"/>
  <c r="J31" i="1"/>
  <c r="J32" i="1"/>
  <c r="K31" i="1"/>
  <c r="K32" i="1"/>
  <c r="I32" i="1"/>
  <c r="B11" i="22"/>
  <c r="B12" i="22"/>
  <c r="B13" i="21"/>
  <c r="B14" i="21"/>
  <c r="B35" i="11"/>
  <c r="B29" i="10"/>
  <c r="B16" i="9"/>
  <c r="B26" i="15"/>
  <c r="B25" i="15"/>
  <c r="B16" i="8"/>
  <c r="B14" i="7"/>
  <c r="C24" i="2"/>
  <c r="B25" i="2"/>
  <c r="C25" i="2"/>
  <c r="K20" i="6"/>
  <c r="K19" i="6"/>
  <c r="B22" i="6"/>
  <c r="B16" i="5"/>
  <c r="B17" i="5"/>
  <c r="B20" i="4"/>
  <c r="B29" i="3"/>
  <c r="B34" i="1"/>
  <c r="B17" i="19"/>
  <c r="B21" i="18"/>
  <c r="B32" i="13"/>
  <c r="B34" i="11"/>
  <c r="B30" i="10"/>
  <c r="B15" i="9"/>
  <c r="B15" i="8"/>
  <c r="B13" i="7"/>
  <c r="B21" i="6"/>
  <c r="B19" i="4"/>
  <c r="B30" i="3"/>
  <c r="B24" i="2"/>
  <c r="B33" i="1"/>
</calcChain>
</file>

<file path=xl/sharedStrings.xml><?xml version="1.0" encoding="utf-8"?>
<sst xmlns="http://schemas.openxmlformats.org/spreadsheetml/2006/main" count="648" uniqueCount="164">
  <si>
    <t>M8 145056 Awake TG</t>
  </si>
  <si>
    <t>Frame #</t>
  </si>
  <si>
    <t>B fitting parameter</t>
  </si>
  <si>
    <t>lairgap</t>
  </si>
  <si>
    <t>Theta  used (rads)</t>
  </si>
  <si>
    <t>comments</t>
  </si>
  <si>
    <t>Average</t>
  </si>
  <si>
    <t>Standard Dev</t>
  </si>
  <si>
    <t>upper bound</t>
  </si>
  <si>
    <t>lower bound</t>
  </si>
  <si>
    <t>M8 145056 Awake BG</t>
  </si>
  <si>
    <t>M11 133651 Awake TG</t>
  </si>
  <si>
    <t>The slope for this data was too steep and didn’t fit the code perfectly, so we had to manually adjust the b value on most of the data</t>
  </si>
  <si>
    <t>M4 110142 Awake TG</t>
  </si>
  <si>
    <t>L</t>
  </si>
  <si>
    <t>M8 134640 Awake BG</t>
  </si>
  <si>
    <t>L - Initial guess dimensionless</t>
  </si>
  <si>
    <t>Monarch 213 Video 2 Top Galea</t>
  </si>
  <si>
    <t>M1 142413 sleeping BG</t>
  </si>
  <si>
    <t xml:space="preserve">L (initial guess) </t>
  </si>
  <si>
    <t>l.airgap</t>
  </si>
  <si>
    <t>M4 114756 sleeping TG</t>
  </si>
  <si>
    <t>M9 144505 sleeping TG</t>
  </si>
  <si>
    <t>PL3 Awake 113156 TG</t>
  </si>
  <si>
    <t>PL3 awake 113813 TG</t>
  </si>
  <si>
    <t>PL3 Awake 114723 TG</t>
  </si>
  <si>
    <t>PL6 Awake 154513 TG</t>
  </si>
  <si>
    <t>PL6 awake 155022</t>
  </si>
  <si>
    <t xml:space="preserve">PL4 sedating 132734 </t>
  </si>
  <si>
    <t>PL5 sedating 145450 BG</t>
  </si>
  <si>
    <t>choppy data</t>
  </si>
  <si>
    <t>PL1 134856 Awake TG</t>
  </si>
  <si>
    <t>PL1 104827 sleeping BG</t>
  </si>
  <si>
    <t>PL1 134856 sleeping BG</t>
  </si>
  <si>
    <t>low numbers, but its outside the parameters we have</t>
  </si>
  <si>
    <t>PL5 145450 sleeping TG</t>
  </si>
  <si>
    <t xml:space="preserve">low b values because the top galea is fairly straight </t>
  </si>
  <si>
    <t>Vady</t>
  </si>
  <si>
    <t>Vadx</t>
  </si>
  <si>
    <t>Fny</t>
  </si>
  <si>
    <t>Fc</t>
  </si>
  <si>
    <t>Fnx</t>
  </si>
  <si>
    <t>Fny-Vady</t>
  </si>
  <si>
    <t>R^2  (goodness of fit)</t>
  </si>
  <si>
    <t>lmeniscus</t>
  </si>
  <si>
    <t>starting B value = .05 because data is weird and L is very long!</t>
  </si>
  <si>
    <t>fit with B=.05</t>
  </si>
  <si>
    <t>Fit with B=.2</t>
  </si>
  <si>
    <t>fit with B=.15</t>
  </si>
  <si>
    <t>used B=.15</t>
  </si>
  <si>
    <t>used B=.2</t>
  </si>
  <si>
    <t>DATA SEEMS MESSED UP</t>
  </si>
  <si>
    <t>avg</t>
  </si>
  <si>
    <t>stdev</t>
  </si>
  <si>
    <t>average</t>
  </si>
  <si>
    <t>outlier for vady</t>
  </si>
  <si>
    <t>Painted Lady Average</t>
  </si>
  <si>
    <t>Other Params</t>
  </si>
  <si>
    <t>R (m)</t>
  </si>
  <si>
    <t>F2 (N/m^2)</t>
  </si>
  <si>
    <t>adjusted code such that it gives us the negative of readings gathered previously to get force of adhesion on the beam instead of vice versa</t>
  </si>
  <si>
    <t>B=.15 to start</t>
  </si>
  <si>
    <t>8.99916*10^-7</t>
  </si>
  <si>
    <t>Itip</t>
  </si>
  <si>
    <t>Imiddle</t>
  </si>
  <si>
    <t>Theta</t>
  </si>
  <si>
    <t>Monarch # averages</t>
  </si>
  <si>
    <t>B</t>
  </si>
  <si>
    <t>Standard Deviation</t>
  </si>
  <si>
    <t>R2</t>
  </si>
  <si>
    <t>Lcrack</t>
  </si>
  <si>
    <r>
      <rPr>
        <b/>
        <i/>
        <sz val="14"/>
        <color theme="1"/>
        <rFont val="Calibri"/>
        <family val="2"/>
        <scheme val="minor"/>
      </rPr>
      <t>l</t>
    </r>
    <r>
      <rPr>
        <b/>
        <sz val="14"/>
        <color theme="1"/>
        <rFont val="Calibri"/>
        <family val="2"/>
        <scheme val="minor"/>
      </rPr>
      <t>wet</t>
    </r>
  </si>
  <si>
    <t>Overall Averages</t>
  </si>
  <si>
    <t>Overall Standard Devs</t>
  </si>
  <si>
    <t>Monarch Average</t>
  </si>
  <si>
    <t>Using Itip</t>
  </si>
  <si>
    <t>Using Imiddle</t>
  </si>
  <si>
    <t>Values used for moment of inertia:</t>
  </si>
  <si>
    <t>Tip</t>
  </si>
  <si>
    <t>T - wall thickness</t>
  </si>
  <si>
    <t>Rfc - radius of food canal</t>
  </si>
  <si>
    <t>Rout - distance to outer edge of galea</t>
  </si>
  <si>
    <t>I - moment of inertia near tip</t>
  </si>
  <si>
    <t>Middle - knee region</t>
  </si>
  <si>
    <t>I - moment of inertia near middle</t>
  </si>
  <si>
    <t>M213 143514 Se TG</t>
  </si>
  <si>
    <t>M8 145056 A TG</t>
  </si>
  <si>
    <t>M8 145056 A BG</t>
  </si>
  <si>
    <t>M11 133651 A TG</t>
  </si>
  <si>
    <t>M4 110142 A TG</t>
  </si>
  <si>
    <t>M8 134640 A BG</t>
  </si>
  <si>
    <t>M1 142413 Sl BG</t>
  </si>
  <si>
    <t>M4 114756 Sl TG</t>
  </si>
  <si>
    <t>M9 144505 Sl TG</t>
  </si>
  <si>
    <t>PL1 104827 Sl BG</t>
  </si>
  <si>
    <t>PL1 134856 Sl BG</t>
  </si>
  <si>
    <t>PL5 145450 Sl TG</t>
  </si>
  <si>
    <t>PL3 113156 A TG</t>
  </si>
  <si>
    <t>PL3 113813 A TG</t>
  </si>
  <si>
    <t>PL3 114723 A TG</t>
  </si>
  <si>
    <t>PL6 154513 A TG</t>
  </si>
  <si>
    <t>PL6 155022 A TG</t>
  </si>
  <si>
    <t>PL1 134856 A TG</t>
  </si>
  <si>
    <t>PL4 132734 Se TG</t>
  </si>
  <si>
    <t>PL5 145450 Se BG</t>
  </si>
  <si>
    <t>Sample</t>
  </si>
  <si>
    <t>Young's Modulus (N/m^2)</t>
  </si>
  <si>
    <t>Cross Sectional Area (m^2)</t>
  </si>
  <si>
    <t>Epoxy type</t>
  </si>
  <si>
    <t>PL-2A</t>
  </si>
  <si>
    <t>steel</t>
  </si>
  <si>
    <t>PL-4A</t>
  </si>
  <si>
    <t>Tested sample 5 5 days after death</t>
  </si>
  <si>
    <t>PL-4B</t>
  </si>
  <si>
    <t>plastic</t>
  </si>
  <si>
    <t>PL-6A</t>
  </si>
  <si>
    <t>PL-6B</t>
  </si>
  <si>
    <t>PL-7B</t>
  </si>
  <si>
    <t>M-889A</t>
  </si>
  <si>
    <t>M-889B</t>
  </si>
  <si>
    <t>M-9A</t>
  </si>
  <si>
    <t>M-9B</t>
  </si>
  <si>
    <t>Young's Modulus (MPa)</t>
  </si>
  <si>
    <t>St. dev</t>
  </si>
  <si>
    <t>Using Itip LOW estimate</t>
  </si>
  <si>
    <t>Using Itip HIGH estimate</t>
  </si>
  <si>
    <t>Overall Modulus (E) [MPa]</t>
  </si>
  <si>
    <t>Monarch Modulus (E) [MPa]</t>
  </si>
  <si>
    <t>Painted Lady Modulus (E) [MPa]</t>
  </si>
  <si>
    <t>upper</t>
  </si>
  <si>
    <t>lower</t>
  </si>
  <si>
    <t>Useable ranges for parameters</t>
  </si>
  <si>
    <t>optimized for significant deflection when propagating l such that profile does not go below the neutral axis where limits of l are always 0&lt;=l&lt;=L</t>
  </si>
  <si>
    <t>although for higher B ranges, in order for our model to still work, we need to decrease the gamma</t>
  </si>
  <si>
    <r>
      <t xml:space="preserve">Ranges of Usable </t>
    </r>
    <r>
      <rPr>
        <b/>
        <i/>
        <sz val="16"/>
        <color theme="1"/>
        <rFont val="Calibri"/>
        <family val="2"/>
      </rPr>
      <t>γ</t>
    </r>
    <r>
      <rPr>
        <b/>
        <i/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Values</t>
    </r>
  </si>
  <si>
    <t>1.5/6</t>
  </si>
  <si>
    <t>.55/.7</t>
  </si>
  <si>
    <t>5/19</t>
  </si>
  <si>
    <t>.7/1.4</t>
  </si>
  <si>
    <t>15/90</t>
  </si>
  <si>
    <t>1.5/7</t>
  </si>
  <si>
    <t>100/1000</t>
  </si>
  <si>
    <t>15/92</t>
  </si>
  <si>
    <t>.8/1.5</t>
  </si>
  <si>
    <t>γ experimental</t>
  </si>
  <si>
    <t>γ=F1/F2*R</t>
  </si>
  <si>
    <t>F1 [N/m]</t>
  </si>
  <si>
    <t>F2 [N/m^2]</t>
  </si>
  <si>
    <t>R [m]</t>
  </si>
  <si>
    <t>.8/3</t>
  </si>
  <si>
    <t>.6/.74</t>
  </si>
  <si>
    <t>.61/1.4</t>
  </si>
  <si>
    <t>.9/4</t>
  </si>
  <si>
    <t>3/20</t>
  </si>
  <si>
    <t>35/250</t>
  </si>
  <si>
    <t>.6/.75</t>
  </si>
  <si>
    <t>.6/1.4</t>
  </si>
  <si>
    <t>.8/2.5</t>
  </si>
  <si>
    <t>5/35</t>
  </si>
  <si>
    <t>.48/.51</t>
  </si>
  <si>
    <t>3/18</t>
  </si>
  <si>
    <t>.6/.64</t>
  </si>
  <si>
    <t>.6/2.6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</si>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</sst>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E+00"/>
    <numFmt numFmtId="165" formatCode="0.000"/>
    <numFmt numFmtId="166" formatCode="0.0000000"/>
    <numFmt numFmtId="167" formatCode="0.000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12"/>
      <color rgb="FF800080"/>
      <name val="Calibri"/>
      <family val="2"/>
      <scheme val="minor"/>
    </font>
    <font>
      <b/>
      <sz val="14"/>
      <color rgb="FFFF6600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4"/>
      <color rgb="FF800080"/>
      <name val="Calibri"/>
      <family val="2"/>
      <scheme val="minor"/>
    </font>
    <font>
      <b/>
      <sz val="11"/>
      <color rgb="FF800080"/>
      <name val="Calibri"/>
      <family val="2"/>
      <scheme val="minor"/>
    </font>
    <font>
      <b/>
      <sz val="11"/>
      <name val="Times New Roman"/>
      <family val="1"/>
    </font>
    <font>
      <sz val="11"/>
      <color rgb="FF9C0006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3" borderId="0" applyNumberFormat="0" applyBorder="0" applyAlignment="0" applyProtection="0"/>
  </cellStyleXfs>
  <cellXfs count="218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2" fillId="0" borderId="6" xfId="0" applyFont="1" applyBorder="1"/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4" xfId="0" applyFont="1" applyBorder="1"/>
    <xf numFmtId="0" fontId="0" fillId="0" borderId="5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/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/>
    <xf numFmtId="0" fontId="0" fillId="0" borderId="19" xfId="0" applyBorder="1"/>
    <xf numFmtId="0" fontId="0" fillId="0" borderId="2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1" fontId="0" fillId="0" borderId="0" xfId="0" applyNumberFormat="1"/>
    <xf numFmtId="0" fontId="3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Alignment="1">
      <alignment wrapText="1"/>
    </xf>
    <xf numFmtId="0" fontId="3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/>
    <xf numFmtId="0" fontId="0" fillId="0" borderId="9" xfId="0" applyBorder="1" applyAlignment="1">
      <alignment horizontal="center"/>
    </xf>
    <xf numFmtId="0" fontId="0" fillId="0" borderId="25" xfId="0" applyBorder="1"/>
    <xf numFmtId="0" fontId="2" fillId="0" borderId="1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6" xfId="0" applyBorder="1" applyAlignment="1">
      <alignment horizontal="center"/>
    </xf>
    <xf numFmtId="0" fontId="0" fillId="0" borderId="11" xfId="0" applyBorder="1"/>
    <xf numFmtId="0" fontId="0" fillId="0" borderId="27" xfId="0" applyBorder="1"/>
    <xf numFmtId="0" fontId="3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/>
    <xf numFmtId="2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7" xfId="0" applyFont="1" applyBorder="1"/>
    <xf numFmtId="0" fontId="0" fillId="0" borderId="19" xfId="0" applyFont="1" applyFill="1" applyBorder="1"/>
    <xf numFmtId="0" fontId="0" fillId="0" borderId="10" xfId="0" applyFont="1" applyFill="1" applyBorder="1"/>
    <xf numFmtId="2" fontId="0" fillId="0" borderId="28" xfId="0" applyNumberFormat="1" applyBorder="1" applyAlignment="1">
      <alignment horizontal="center" vertical="center"/>
    </xf>
    <xf numFmtId="2" fontId="0" fillId="0" borderId="19" xfId="0" applyNumberFormat="1" applyBorder="1"/>
    <xf numFmtId="164" fontId="0" fillId="0" borderId="19" xfId="0" applyNumberFormat="1" applyBorder="1"/>
    <xf numFmtId="165" fontId="0" fillId="0" borderId="24" xfId="0" applyNumberFormat="1" applyBorder="1"/>
    <xf numFmtId="2" fontId="0" fillId="0" borderId="10" xfId="0" applyNumberFormat="1" applyFill="1" applyBorder="1" applyAlignment="1">
      <alignment horizontal="center" vertical="center"/>
    </xf>
    <xf numFmtId="2" fontId="0" fillId="0" borderId="10" xfId="0" applyNumberFormat="1" applyBorder="1"/>
    <xf numFmtId="164" fontId="0" fillId="0" borderId="10" xfId="0" applyNumberFormat="1" applyBorder="1"/>
    <xf numFmtId="164" fontId="0" fillId="0" borderId="25" xfId="0" applyNumberFormat="1" applyBorder="1"/>
    <xf numFmtId="0" fontId="0" fillId="0" borderId="0" xfId="0" applyFont="1" applyBorder="1"/>
    <xf numFmtId="11" fontId="0" fillId="0" borderId="25" xfId="0" applyNumberFormat="1" applyBorder="1"/>
    <xf numFmtId="0" fontId="0" fillId="0" borderId="8" xfId="0" applyBorder="1"/>
    <xf numFmtId="0" fontId="0" fillId="0" borderId="29" xfId="0" applyBorder="1"/>
    <xf numFmtId="0" fontId="0" fillId="0" borderId="9" xfId="0" applyBorder="1"/>
    <xf numFmtId="0" fontId="0" fillId="0" borderId="24" xfId="0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25" xfId="0" applyFont="1" applyBorder="1"/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11" fontId="0" fillId="2" borderId="7" xfId="0" applyNumberFormat="1" applyFill="1" applyBorder="1" applyAlignment="1">
      <alignment horizontal="center" vertical="center"/>
    </xf>
    <xf numFmtId="11" fontId="0" fillId="0" borderId="4" xfId="0" applyNumberFormat="1" applyBorder="1" applyAlignment="1">
      <alignment horizontal="center" vertical="center"/>
    </xf>
    <xf numFmtId="11" fontId="0" fillId="2" borderId="4" xfId="0" applyNumberFormat="1" applyFill="1" applyBorder="1" applyAlignment="1">
      <alignment horizontal="center" vertical="center"/>
    </xf>
    <xf numFmtId="11" fontId="0" fillId="0" borderId="17" xfId="0" applyNumberFormat="1" applyBorder="1" applyAlignment="1">
      <alignment horizontal="center" vertical="center"/>
    </xf>
    <xf numFmtId="11" fontId="3" fillId="2" borderId="19" xfId="0" applyNumberFormat="1" applyFont="1" applyFill="1" applyBorder="1" applyAlignment="1">
      <alignment horizontal="center" vertical="center"/>
    </xf>
    <xf numFmtId="11" fontId="3" fillId="0" borderId="10" xfId="0" applyNumberFormat="1" applyFont="1" applyBorder="1" applyAlignment="1">
      <alignment horizontal="center" vertical="center"/>
    </xf>
    <xf numFmtId="11" fontId="0" fillId="0" borderId="10" xfId="0" applyNumberFormat="1" applyBorder="1" applyAlignment="1">
      <alignment horizontal="center" vertical="center"/>
    </xf>
    <xf numFmtId="2" fontId="0" fillId="2" borderId="34" xfId="0" applyNumberFormat="1" applyFill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2" borderId="32" xfId="0" applyNumberForma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/>
    </xf>
    <xf numFmtId="0" fontId="2" fillId="0" borderId="26" xfId="0" applyFont="1" applyBorder="1"/>
    <xf numFmtId="0" fontId="2" fillId="0" borderId="11" xfId="0" applyFont="1" applyBorder="1"/>
    <xf numFmtId="0" fontId="2" fillId="0" borderId="27" xfId="0" applyFont="1" applyBorder="1"/>
    <xf numFmtId="0" fontId="2" fillId="0" borderId="35" xfId="0" applyFont="1" applyBorder="1"/>
    <xf numFmtId="0" fontId="2" fillId="0" borderId="0" xfId="0" applyFont="1" applyBorder="1"/>
    <xf numFmtId="0" fontId="2" fillId="0" borderId="36" xfId="0" applyFont="1" applyBorder="1"/>
    <xf numFmtId="165" fontId="3" fillId="2" borderId="19" xfId="0" applyNumberFormat="1" applyFont="1" applyFill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2" borderId="29" xfId="0" applyNumberFormat="1" applyFill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167" fontId="3" fillId="2" borderId="19" xfId="0" applyNumberFormat="1" applyFont="1" applyFill="1" applyBorder="1" applyAlignment="1">
      <alignment horizontal="center" vertical="center"/>
    </xf>
    <xf numFmtId="167" fontId="0" fillId="2" borderId="7" xfId="0" applyNumberFormat="1" applyFill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3" fillId="0" borderId="10" xfId="0" applyNumberFormat="1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20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2" fillId="3" borderId="4" xfId="1" applyNumberFormat="1" applyFont="1" applyBorder="1" applyAlignment="1">
      <alignment horizontal="center" vertical="center"/>
    </xf>
    <xf numFmtId="49" fontId="22" fillId="3" borderId="29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49" fontId="21" fillId="4" borderId="4" xfId="0" applyNumberFormat="1" applyFont="1" applyFill="1" applyBorder="1" applyAlignment="1">
      <alignment horizontal="center" vertical="center"/>
    </xf>
    <xf numFmtId="49" fontId="21" fillId="4" borderId="10" xfId="0" applyNumberFormat="1" applyFont="1" applyFill="1" applyBorder="1" applyAlignment="1">
      <alignment horizontal="center" vertical="center"/>
    </xf>
    <xf numFmtId="49" fontId="21" fillId="4" borderId="7" xfId="0" applyNumberFormat="1" applyFont="1" applyFill="1" applyBorder="1" applyAlignment="1">
      <alignment horizontal="center" vertical="center"/>
    </xf>
    <xf numFmtId="49" fontId="22" fillId="3" borderId="7" xfId="1" applyNumberFormat="1" applyFont="1" applyBorder="1" applyAlignment="1">
      <alignment horizontal="center" vertical="center"/>
    </xf>
    <xf numFmtId="49" fontId="22" fillId="3" borderId="37" xfId="1" applyNumberFormat="1" applyFont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center" vertical="center"/>
    </xf>
    <xf numFmtId="49" fontId="21" fillId="0" borderId="4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F6600"/>
      <color rgb="FF80008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Avgs and Stdevs'!$A$2</c:f>
              <c:strCache>
                <c:ptCount val="1"/>
                <c:pt idx="0">
                  <c:v>M213 143514 Se TG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Stdevs'!$B$3</c:f>
                <c:numCache>
                  <c:formatCode>General</c:formatCode>
                  <c:ptCount val="1"/>
                  <c:pt idx="0">
                    <c:v>1.1362519934649448E-2</c:v>
                  </c:pt>
                </c:numCache>
              </c:numRef>
            </c:plus>
            <c:minus>
              <c:numRef>
                <c:f>'Summary Avgs and Stdevs'!$B$3</c:f>
                <c:numCache>
                  <c:formatCode>General</c:formatCode>
                  <c:ptCount val="1"/>
                  <c:pt idx="0">
                    <c:v>1.1362519934649448E-2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Stdevs'!$B$2</c:f>
              <c:numCache>
                <c:formatCode>0.00</c:formatCode>
                <c:ptCount val="1"/>
                <c:pt idx="0">
                  <c:v>0.19799285714285711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9-4060-B93C-810859D95F27}"/>
            </c:ext>
          </c:extLst>
        </c:ser>
        <c:ser>
          <c:idx val="1"/>
          <c:order val="1"/>
          <c:tx>
            <c:strRef>
              <c:f>'Summary Avgs and Stdevs'!$A$4</c:f>
              <c:strCache>
                <c:ptCount val="1"/>
                <c:pt idx="0">
                  <c:v>M8 145056 A TG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Stdevs'!$B$5</c:f>
                <c:numCache>
                  <c:formatCode>General</c:formatCode>
                  <c:ptCount val="1"/>
                  <c:pt idx="0">
                    <c:v>2.2486518659696794E-2</c:v>
                  </c:pt>
                </c:numCache>
              </c:numRef>
            </c:plus>
            <c:minus>
              <c:numRef>
                <c:f>'Summary Avgs and Stdevs'!$B$5</c:f>
                <c:numCache>
                  <c:formatCode>General</c:formatCode>
                  <c:ptCount val="1"/>
                  <c:pt idx="0">
                    <c:v>2.2486518659696794E-2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Stdevs'!$B$4</c:f>
              <c:numCache>
                <c:formatCode>0.00</c:formatCode>
                <c:ptCount val="1"/>
                <c:pt idx="0">
                  <c:v>0.14034695652173915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9-4060-B93C-810859D95F27}"/>
            </c:ext>
          </c:extLst>
        </c:ser>
        <c:ser>
          <c:idx val="3"/>
          <c:order val="2"/>
          <c:tx>
            <c:strRef>
              <c:f>'Summary Avgs and Stdevs'!$A$8</c:f>
              <c:strCache>
                <c:ptCount val="1"/>
                <c:pt idx="0">
                  <c:v>M11 133651 A TG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Stdevs'!$B$9</c:f>
                <c:numCache>
                  <c:formatCode>General</c:formatCode>
                  <c:ptCount val="1"/>
                  <c:pt idx="0">
                    <c:v>2.6666330636936963E-2</c:v>
                  </c:pt>
                </c:numCache>
              </c:numRef>
            </c:plus>
            <c:minus>
              <c:numRef>
                <c:f>'Summary Avgs and Stdevs'!$B$9</c:f>
                <c:numCache>
                  <c:formatCode>General</c:formatCode>
                  <c:ptCount val="1"/>
                  <c:pt idx="0">
                    <c:v>2.6666330636936963E-2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Stdevs'!$B$8</c:f>
              <c:numCache>
                <c:formatCode>0.00</c:formatCode>
                <c:ptCount val="1"/>
                <c:pt idx="0">
                  <c:v>0.16793331363636366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49-4060-B93C-810859D95F27}"/>
            </c:ext>
          </c:extLst>
        </c:ser>
        <c:ser>
          <c:idx val="4"/>
          <c:order val="3"/>
          <c:tx>
            <c:strRef>
              <c:f>'Summary Avgs and Stdevs'!$A$10</c:f>
              <c:strCache>
                <c:ptCount val="1"/>
                <c:pt idx="0">
                  <c:v>M4 110142 A TG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Stdevs'!$B$11</c:f>
                <c:numCache>
                  <c:formatCode>General</c:formatCode>
                  <c:ptCount val="1"/>
                  <c:pt idx="0">
                    <c:v>3.3209223244169507E-2</c:v>
                  </c:pt>
                </c:numCache>
              </c:numRef>
            </c:plus>
            <c:minus>
              <c:numRef>
                <c:f>'Summary Avgs and Stdevs'!$B$11</c:f>
                <c:numCache>
                  <c:formatCode>General</c:formatCode>
                  <c:ptCount val="1"/>
                  <c:pt idx="0">
                    <c:v>3.3209223244169507E-2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Stdevs'!$B$10</c:f>
              <c:numCache>
                <c:formatCode>0.00</c:formatCode>
                <c:ptCount val="1"/>
                <c:pt idx="0">
                  <c:v>0.13697001250000002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9-4060-B93C-810859D95F27}"/>
            </c:ext>
          </c:extLst>
        </c:ser>
        <c:ser>
          <c:idx val="5"/>
          <c:order val="4"/>
          <c:tx>
            <c:strRef>
              <c:f>'Summary Avgs and Stdevs'!$A$12</c:f>
              <c:strCache>
                <c:ptCount val="1"/>
                <c:pt idx="0">
                  <c:v>M8 134640 A BG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Stdevs'!$B$13</c:f>
                <c:numCache>
                  <c:formatCode>General</c:formatCode>
                  <c:ptCount val="1"/>
                  <c:pt idx="0">
                    <c:v>1.0592067464469584E-2</c:v>
                  </c:pt>
                </c:numCache>
              </c:numRef>
            </c:plus>
            <c:minus>
              <c:numRef>
                <c:f>'Summary Avgs and Stdevs'!$B$13</c:f>
                <c:numCache>
                  <c:formatCode>General</c:formatCode>
                  <c:ptCount val="1"/>
                  <c:pt idx="0">
                    <c:v>1.0592067464469584E-2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Stdevs'!$B$12</c:f>
              <c:numCache>
                <c:formatCode>0.00</c:formatCode>
                <c:ptCount val="1"/>
                <c:pt idx="0">
                  <c:v>0.10978537499999999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49-4060-B93C-810859D95F27}"/>
            </c:ext>
          </c:extLst>
        </c:ser>
        <c:ser>
          <c:idx val="6"/>
          <c:order val="5"/>
          <c:tx>
            <c:strRef>
              <c:f>'Summary Avgs and Stdevs'!$A$14</c:f>
              <c:strCache>
                <c:ptCount val="1"/>
                <c:pt idx="0">
                  <c:v>M1 142413 Sl BG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Stdevs'!$B$15</c:f>
                <c:numCache>
                  <c:formatCode>General</c:formatCode>
                  <c:ptCount val="1"/>
                  <c:pt idx="0">
                    <c:v>3.7672264665135264E-3</c:v>
                  </c:pt>
                </c:numCache>
              </c:numRef>
            </c:plus>
            <c:minus>
              <c:numRef>
                <c:f>'Summary Avgs and Stdevs'!$B$15</c:f>
                <c:numCache>
                  <c:formatCode>General</c:formatCode>
                  <c:ptCount val="1"/>
                  <c:pt idx="0">
                    <c:v>3.7672264665135264E-3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Stdevs'!$B$14</c:f>
              <c:numCache>
                <c:formatCode>0.00</c:formatCode>
                <c:ptCount val="1"/>
                <c:pt idx="0">
                  <c:v>0.18342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49-4060-B93C-810859D95F27}"/>
            </c:ext>
          </c:extLst>
        </c:ser>
        <c:ser>
          <c:idx val="7"/>
          <c:order val="6"/>
          <c:tx>
            <c:strRef>
              <c:f>'Summary Avgs and Stdevs'!$A$16</c:f>
              <c:strCache>
                <c:ptCount val="1"/>
                <c:pt idx="0">
                  <c:v>M4 114756 Sl TG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Stdevs'!$B$17</c:f>
                <c:numCache>
                  <c:formatCode>General</c:formatCode>
                  <c:ptCount val="1"/>
                  <c:pt idx="0">
                    <c:v>3.3560510928023778E-3</c:v>
                  </c:pt>
                </c:numCache>
              </c:numRef>
            </c:plus>
            <c:minus>
              <c:numRef>
                <c:f>'Summary Avgs and Stdevs'!$B$17</c:f>
                <c:numCache>
                  <c:formatCode>General</c:formatCode>
                  <c:ptCount val="1"/>
                  <c:pt idx="0">
                    <c:v>3.3560510928023778E-3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Stdevs'!$B$16</c:f>
              <c:numCache>
                <c:formatCode>0.00</c:formatCode>
                <c:ptCount val="1"/>
                <c:pt idx="0">
                  <c:v>0.12645525000000002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49-4060-B93C-810859D95F27}"/>
            </c:ext>
          </c:extLst>
        </c:ser>
        <c:ser>
          <c:idx val="8"/>
          <c:order val="7"/>
          <c:tx>
            <c:strRef>
              <c:f>'Summary Avgs and Stdevs'!$A$18</c:f>
              <c:strCache>
                <c:ptCount val="1"/>
                <c:pt idx="0">
                  <c:v>M9 144505 Sl TG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Stdevs'!$B$19</c:f>
                <c:numCache>
                  <c:formatCode>General</c:formatCode>
                  <c:ptCount val="1"/>
                  <c:pt idx="0">
                    <c:v>6.9322632667837975E-3</c:v>
                  </c:pt>
                </c:numCache>
              </c:numRef>
            </c:plus>
            <c:minus>
              <c:numRef>
                <c:f>'Summary Avgs and Stdevs'!$B$19</c:f>
                <c:numCache>
                  <c:formatCode>General</c:formatCode>
                  <c:ptCount val="1"/>
                  <c:pt idx="0">
                    <c:v>6.9322632667837975E-3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Stdevs'!$B$18</c:f>
              <c:numCache>
                <c:formatCode>0.00</c:formatCode>
                <c:ptCount val="1"/>
                <c:pt idx="0">
                  <c:v>0.15192550000000002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49-4060-B93C-810859D95F27}"/>
            </c:ext>
          </c:extLst>
        </c:ser>
        <c:ser>
          <c:idx val="9"/>
          <c:order val="8"/>
          <c:tx>
            <c:strRef>
              <c:f>'Summary Avgs and Stdevs'!$A$20</c:f>
              <c:strCache>
                <c:ptCount val="1"/>
                <c:pt idx="0">
                  <c:v>PL1 104827 Sl BG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Stdevs'!$B$21</c:f>
                <c:numCache>
                  <c:formatCode>General</c:formatCode>
                  <c:ptCount val="1"/>
                  <c:pt idx="0">
                    <c:v>1.2279414506289945E-2</c:v>
                  </c:pt>
                </c:numCache>
              </c:numRef>
            </c:plus>
            <c:minus>
              <c:numRef>
                <c:f>'Summary Avgs and Stdevs'!$B$21</c:f>
                <c:numCache>
                  <c:formatCode>General</c:formatCode>
                  <c:ptCount val="1"/>
                  <c:pt idx="0">
                    <c:v>1.2279414506289945E-2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Stdevs'!$B$20</c:f>
              <c:numCache>
                <c:formatCode>0.00</c:formatCode>
                <c:ptCount val="1"/>
                <c:pt idx="0">
                  <c:v>0.16100077777777774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49-4060-B93C-810859D95F27}"/>
            </c:ext>
          </c:extLst>
        </c:ser>
        <c:ser>
          <c:idx val="10"/>
          <c:order val="9"/>
          <c:tx>
            <c:strRef>
              <c:f>'Summary Avgs and Stdevs'!$A$22</c:f>
              <c:strCache>
                <c:ptCount val="1"/>
                <c:pt idx="0">
                  <c:v>PL1 134856 Sl BG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Stdevs'!$B$23</c:f>
                <c:numCache>
                  <c:formatCode>General</c:formatCode>
                  <c:ptCount val="1"/>
                  <c:pt idx="0">
                    <c:v>1.6695266714451294E-2</c:v>
                  </c:pt>
                </c:numCache>
              </c:numRef>
            </c:plus>
            <c:minus>
              <c:numRef>
                <c:f>'Summary Avgs and Stdevs'!$B$23</c:f>
                <c:numCache>
                  <c:formatCode>General</c:formatCode>
                  <c:ptCount val="1"/>
                  <c:pt idx="0">
                    <c:v>1.6695266714451294E-2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Stdevs'!$B$22</c:f>
              <c:numCache>
                <c:formatCode>0.00</c:formatCode>
                <c:ptCount val="1"/>
                <c:pt idx="0">
                  <c:v>0.13878100000000002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49-4060-B93C-810859D95F27}"/>
            </c:ext>
          </c:extLst>
        </c:ser>
        <c:ser>
          <c:idx val="11"/>
          <c:order val="10"/>
          <c:tx>
            <c:strRef>
              <c:f>'Summary Avgs and Stdevs'!$A$24</c:f>
              <c:strCache>
                <c:ptCount val="1"/>
                <c:pt idx="0">
                  <c:v>PL5 145450 Sl TG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Stdevs'!$B$25</c:f>
                <c:numCache>
                  <c:formatCode>General</c:formatCode>
                  <c:ptCount val="1"/>
                  <c:pt idx="0">
                    <c:v>1.1000746045609988E-2</c:v>
                  </c:pt>
                </c:numCache>
              </c:numRef>
            </c:plus>
            <c:minus>
              <c:numRef>
                <c:f>'Summary Avgs and Stdevs'!$B$25</c:f>
                <c:numCache>
                  <c:formatCode>General</c:formatCode>
                  <c:ptCount val="1"/>
                  <c:pt idx="0">
                    <c:v>1.1000746045609988E-2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Stdevs'!$B$24</c:f>
              <c:numCache>
                <c:formatCode>0.00</c:formatCode>
                <c:ptCount val="1"/>
                <c:pt idx="0">
                  <c:v>8.8350399999999982E-2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49-4060-B93C-810859D95F27}"/>
            </c:ext>
          </c:extLst>
        </c:ser>
        <c:ser>
          <c:idx val="12"/>
          <c:order val="11"/>
          <c:tx>
            <c:strRef>
              <c:f>'Summary Avgs and Stdevs'!$A$26</c:f>
              <c:strCache>
                <c:ptCount val="1"/>
                <c:pt idx="0">
                  <c:v>PL3 113156 A TG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Stdevs'!$B$27</c:f>
                <c:numCache>
                  <c:formatCode>General</c:formatCode>
                  <c:ptCount val="1"/>
                  <c:pt idx="0">
                    <c:v>1.4588627715277348E-2</c:v>
                  </c:pt>
                </c:numCache>
              </c:numRef>
            </c:plus>
            <c:minus>
              <c:numRef>
                <c:f>'Summary Avgs and Stdevs'!$B$27</c:f>
                <c:numCache>
                  <c:formatCode>General</c:formatCode>
                  <c:ptCount val="1"/>
                  <c:pt idx="0">
                    <c:v>1.4588627715277348E-2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Stdevs'!$B$26</c:f>
              <c:numCache>
                <c:formatCode>0.00</c:formatCode>
                <c:ptCount val="1"/>
                <c:pt idx="0">
                  <c:v>0.14629373684210528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249-4060-B93C-810859D95F27}"/>
            </c:ext>
          </c:extLst>
        </c:ser>
        <c:ser>
          <c:idx val="13"/>
          <c:order val="12"/>
          <c:tx>
            <c:strRef>
              <c:f>'Summary Avgs and Stdevs'!$A$28</c:f>
              <c:strCache>
                <c:ptCount val="1"/>
                <c:pt idx="0">
                  <c:v>PL3 113813 A TG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Stdevs'!$B$29</c:f>
                <c:numCache>
                  <c:formatCode>General</c:formatCode>
                  <c:ptCount val="1"/>
                  <c:pt idx="0">
                    <c:v>9.7848719812770723E-3</c:v>
                  </c:pt>
                </c:numCache>
              </c:numRef>
            </c:plus>
            <c:minus>
              <c:numRef>
                <c:f>'Summary Avgs and Stdevs'!$B$29</c:f>
                <c:numCache>
                  <c:formatCode>General</c:formatCode>
                  <c:ptCount val="1"/>
                  <c:pt idx="0">
                    <c:v>9.7848719812770723E-3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Stdevs'!$B$28</c:f>
              <c:numCache>
                <c:formatCode>0.00</c:formatCode>
                <c:ptCount val="1"/>
                <c:pt idx="0">
                  <c:v>0.15508630434782608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249-4060-B93C-810859D95F27}"/>
            </c:ext>
          </c:extLst>
        </c:ser>
        <c:ser>
          <c:idx val="14"/>
          <c:order val="13"/>
          <c:tx>
            <c:strRef>
              <c:f>'Summary Avgs and Stdevs'!$A$30</c:f>
              <c:strCache>
                <c:ptCount val="1"/>
                <c:pt idx="0">
                  <c:v>PL3 114723 A TG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Stdevs'!$B$31</c:f>
                <c:numCache>
                  <c:formatCode>General</c:formatCode>
                  <c:ptCount val="1"/>
                  <c:pt idx="0">
                    <c:v>1.3102838856016456E-2</c:v>
                  </c:pt>
                </c:numCache>
              </c:numRef>
            </c:plus>
            <c:minus>
              <c:numRef>
                <c:f>'Summary Avgs and Stdevs'!$B$31</c:f>
                <c:numCache>
                  <c:formatCode>General</c:formatCode>
                  <c:ptCount val="1"/>
                  <c:pt idx="0">
                    <c:v>1.3102838856016456E-2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Stdevs'!$B$30</c:f>
              <c:numCache>
                <c:formatCode>0.00</c:formatCode>
                <c:ptCount val="1"/>
                <c:pt idx="0">
                  <c:v>0.17414035714285711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249-4060-B93C-810859D95F27}"/>
            </c:ext>
          </c:extLst>
        </c:ser>
        <c:ser>
          <c:idx val="15"/>
          <c:order val="14"/>
          <c:tx>
            <c:strRef>
              <c:f>'Summary Avgs and Stdevs'!$A$32</c:f>
              <c:strCache>
                <c:ptCount val="1"/>
                <c:pt idx="0">
                  <c:v>PL6 154513 A TG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Stdevs'!$B$33</c:f>
                <c:numCache>
                  <c:formatCode>General</c:formatCode>
                  <c:ptCount val="1"/>
                  <c:pt idx="0">
                    <c:v>2.934058545191625E-2</c:v>
                  </c:pt>
                </c:numCache>
              </c:numRef>
            </c:plus>
            <c:minus>
              <c:numRef>
                <c:f>'Summary Avgs and Stdevs'!$B$33</c:f>
                <c:numCache>
                  <c:formatCode>General</c:formatCode>
                  <c:ptCount val="1"/>
                  <c:pt idx="0">
                    <c:v>2.934058545191625E-2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Stdevs'!$B$32</c:f>
              <c:numCache>
                <c:formatCode>0.00</c:formatCode>
                <c:ptCount val="1"/>
                <c:pt idx="0">
                  <c:v>0.1875009259259259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249-4060-B93C-810859D95F27}"/>
            </c:ext>
          </c:extLst>
        </c:ser>
        <c:ser>
          <c:idx val="16"/>
          <c:order val="15"/>
          <c:tx>
            <c:strRef>
              <c:f>'Summary Avgs and Stdevs'!$A$34</c:f>
              <c:strCache>
                <c:ptCount val="1"/>
                <c:pt idx="0">
                  <c:v>PL6 155022 A TG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Stdevs'!$B$35</c:f>
                <c:numCache>
                  <c:formatCode>General</c:formatCode>
                  <c:ptCount val="1"/>
                  <c:pt idx="0">
                    <c:v>1.5963456772976437E-2</c:v>
                  </c:pt>
                </c:numCache>
              </c:numRef>
            </c:plus>
            <c:minus>
              <c:numRef>
                <c:f>'Summary Avgs and Stdevs'!$B$35</c:f>
                <c:numCache>
                  <c:formatCode>General</c:formatCode>
                  <c:ptCount val="1"/>
                  <c:pt idx="0">
                    <c:v>1.5963456772976437E-2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Stdevs'!$B$34</c:f>
              <c:numCache>
                <c:formatCode>0.00</c:formatCode>
                <c:ptCount val="1"/>
                <c:pt idx="0">
                  <c:v>0.1792561724137931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249-4060-B93C-810859D95F27}"/>
            </c:ext>
          </c:extLst>
        </c:ser>
        <c:ser>
          <c:idx val="17"/>
          <c:order val="16"/>
          <c:tx>
            <c:strRef>
              <c:f>'Summary Avgs and Stdevs'!$A$36</c:f>
              <c:strCache>
                <c:ptCount val="1"/>
                <c:pt idx="0">
                  <c:v>PL1 134856 A TG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Stdevs'!$B$37</c:f>
                <c:numCache>
                  <c:formatCode>General</c:formatCode>
                  <c:ptCount val="1"/>
                  <c:pt idx="0">
                    <c:v>1.882422549952956E-2</c:v>
                  </c:pt>
                </c:numCache>
              </c:numRef>
            </c:plus>
            <c:minus>
              <c:numRef>
                <c:f>'Summary Avgs and Stdevs'!$B$37</c:f>
                <c:numCache>
                  <c:formatCode>General</c:formatCode>
                  <c:ptCount val="1"/>
                  <c:pt idx="0">
                    <c:v>1.882422549952956E-2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Stdevs'!$B$36</c:f>
              <c:numCache>
                <c:formatCode>0.00</c:formatCode>
                <c:ptCount val="1"/>
                <c:pt idx="0">
                  <c:v>0.15857171428571432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249-4060-B93C-810859D95F27}"/>
            </c:ext>
          </c:extLst>
        </c:ser>
        <c:ser>
          <c:idx val="18"/>
          <c:order val="17"/>
          <c:tx>
            <c:strRef>
              <c:f>'Summary Avgs and Stdevs'!$A$38</c:f>
              <c:strCache>
                <c:ptCount val="1"/>
                <c:pt idx="0">
                  <c:v>PL4 132734 Se TG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Stdevs'!$B$39</c:f>
                <c:numCache>
                  <c:formatCode>General</c:formatCode>
                  <c:ptCount val="1"/>
                  <c:pt idx="0">
                    <c:v>1.6423098713702008E-2</c:v>
                  </c:pt>
                </c:numCache>
              </c:numRef>
            </c:plus>
            <c:minus>
              <c:numRef>
                <c:f>'Summary Avgs and Stdevs'!$B$39</c:f>
                <c:numCache>
                  <c:formatCode>General</c:formatCode>
                  <c:ptCount val="1"/>
                  <c:pt idx="0">
                    <c:v>1.6423098713702008E-2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Stdevs'!$B$38</c:f>
              <c:numCache>
                <c:formatCode>0.00</c:formatCode>
                <c:ptCount val="1"/>
                <c:pt idx="0">
                  <c:v>0.13750279999999998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249-4060-B93C-810859D95F27}"/>
            </c:ext>
          </c:extLst>
        </c:ser>
        <c:ser>
          <c:idx val="19"/>
          <c:order val="18"/>
          <c:tx>
            <c:strRef>
              <c:f>'Summary Avgs and Stdevs'!$A$40</c:f>
              <c:strCache>
                <c:ptCount val="1"/>
                <c:pt idx="0">
                  <c:v>PL5 145450 Se BG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Stdevs'!$B$41</c:f>
                <c:numCache>
                  <c:formatCode>General</c:formatCode>
                  <c:ptCount val="1"/>
                  <c:pt idx="0">
                    <c:v>2.9800491842216552E-2</c:v>
                  </c:pt>
                </c:numCache>
              </c:numRef>
            </c:plus>
            <c:minus>
              <c:numRef>
                <c:f>'Summary Avgs and Stdevs'!$B$41</c:f>
                <c:numCache>
                  <c:formatCode>General</c:formatCode>
                  <c:ptCount val="1"/>
                  <c:pt idx="0">
                    <c:v>2.9800491842216552E-2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Stdevs'!$B$40</c:f>
              <c:numCache>
                <c:formatCode>0.00</c:formatCode>
                <c:ptCount val="1"/>
                <c:pt idx="0">
                  <c:v>0.14593335555555559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249-4060-B93C-810859D95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567008"/>
        <c:axId val="245566448"/>
      </c:barChart>
      <c:catAx>
        <c:axId val="245567008"/>
        <c:scaling>
          <c:orientation val="minMax"/>
        </c:scaling>
        <c:delete val="1"/>
        <c:axPos val="b"/>
        <c:majorTickMark val="none"/>
        <c:minorTickMark val="none"/>
        <c:tickLblPos val="nextTo"/>
        <c:crossAx val="245566448"/>
        <c:crosses val="autoZero"/>
        <c:auto val="1"/>
        <c:lblAlgn val="ctr"/>
        <c:lblOffset val="100"/>
        <c:noMultiLvlLbl val="0"/>
      </c:catAx>
      <c:valAx>
        <c:axId val="24556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Fitting Parameter [</a:t>
                </a:r>
                <a:r>
                  <a:rPr lang="en-US" b="1" i="1"/>
                  <a:t>B</a:t>
                </a:r>
                <a:r>
                  <a:rPr lang="en-US" b="0" i="0"/>
                  <a:t>] (Unitless)</a:t>
                </a:r>
                <a:endParaRPr lang="en-US" b="1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556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498118985126859"/>
          <c:y val="1.0124307378244385E-2"/>
          <c:w val="0.24835214348206475"/>
          <c:h val="0.97975138524351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Monarch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('Summary Avgs and Stdevs'!$I$3,'Summary Avgs and Stdevs'!$I$5,'Summary Avgs and Stdevs'!$I$9,'Summary Avgs and Stdevs'!$I$11,'Summary Avgs and Stdevs'!$I$13,'Summary Avgs and Stdevs'!$I$15,'Summary Avgs and Stdevs'!$I$17,'Summary Avgs and Stdevs'!$I$19)</c:f>
                <c:numCache>
                  <c:formatCode>General</c:formatCode>
                  <c:ptCount val="8"/>
                  <c:pt idx="0">
                    <c:v>2.5673164920527859E-6</c:v>
                  </c:pt>
                  <c:pt idx="1">
                    <c:v>1.381701496135615E-6</c:v>
                  </c:pt>
                  <c:pt idx="2">
                    <c:v>2.1074188334848509E-6</c:v>
                  </c:pt>
                  <c:pt idx="3">
                    <c:v>3.6549315001746271E-6</c:v>
                  </c:pt>
                  <c:pt idx="4">
                    <c:v>1.0442856368111169E-6</c:v>
                  </c:pt>
                  <c:pt idx="5">
                    <c:v>4.0949010846682163E-7</c:v>
                  </c:pt>
                  <c:pt idx="6">
                    <c:v>3.8594411481578216E-7</c:v>
                  </c:pt>
                  <c:pt idx="7">
                    <c:v>7.2905178469502414E-7</c:v>
                  </c:pt>
                </c:numCache>
              </c:numRef>
            </c:plus>
            <c:minus>
              <c:numRef>
                <c:f>('Summary Avgs and Stdevs'!$I$3,'Summary Avgs and Stdevs'!$I$5,'Summary Avgs and Stdevs'!$I$9,'Summary Avgs and Stdevs'!$I$11,'Summary Avgs and Stdevs'!$I$13,'Summary Avgs and Stdevs'!$I$15,'Summary Avgs and Stdevs'!$I$17,'Summary Avgs and Stdevs'!$I$19)</c:f>
                <c:numCache>
                  <c:formatCode>General</c:formatCode>
                  <c:ptCount val="8"/>
                  <c:pt idx="0">
                    <c:v>2.5673164920527859E-6</c:v>
                  </c:pt>
                  <c:pt idx="1">
                    <c:v>1.381701496135615E-6</c:v>
                  </c:pt>
                  <c:pt idx="2">
                    <c:v>2.1074188334848509E-6</c:v>
                  </c:pt>
                  <c:pt idx="3">
                    <c:v>3.6549315001746271E-6</c:v>
                  </c:pt>
                  <c:pt idx="4">
                    <c:v>1.0442856368111169E-6</c:v>
                  </c:pt>
                  <c:pt idx="5">
                    <c:v>4.0949010846682163E-7</c:v>
                  </c:pt>
                  <c:pt idx="6">
                    <c:v>3.8594411481578216E-7</c:v>
                  </c:pt>
                  <c:pt idx="7">
                    <c:v>7.2905178469502414E-7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('Summary Avgs and Stdevs'!$E$3,'Summary Avgs and Stdevs'!$E$5,'Summary Avgs and Stdevs'!$E$9,'Summary Avgs and Stdevs'!$E$11,'Summary Avgs and Stdevs'!$E$13,'Summary Avgs and Stdevs'!$E$15,'Summary Avgs and Stdevs'!$E$17,'Summary Avgs and Stdevs'!$E$19)</c:f>
                <c:numCache>
                  <c:formatCode>General</c:formatCode>
                  <c:ptCount val="8"/>
                  <c:pt idx="0">
                    <c:v>1.1902194008762478E-2</c:v>
                  </c:pt>
                  <c:pt idx="1">
                    <c:v>1.3046923860520632E-2</c:v>
                  </c:pt>
                  <c:pt idx="2">
                    <c:v>2.1415218192863052E-2</c:v>
                  </c:pt>
                  <c:pt idx="3">
                    <c:v>6.4951905283833081E-3</c:v>
                  </c:pt>
                  <c:pt idx="4">
                    <c:v>5.8736700622353515E-3</c:v>
                  </c:pt>
                  <c:pt idx="5">
                    <c:v>4.6904157598234159E-3</c:v>
                  </c:pt>
                  <c:pt idx="6">
                    <c:v>4.3999289766995164E-3</c:v>
                  </c:pt>
                  <c:pt idx="7">
                    <c:v>5.9319052588523626E-3</c:v>
                  </c:pt>
                </c:numCache>
              </c:numRef>
            </c:plus>
            <c:minus>
              <c:numRef>
                <c:f>('Summary Avgs and Stdevs'!$E$3,'Summary Avgs and Stdevs'!$E$5,'Summary Avgs and Stdevs'!$E$9,'Summary Avgs and Stdevs'!$E$11,'Summary Avgs and Stdevs'!$E$13,'Summary Avgs and Stdevs'!$E$15,'Summary Avgs and Stdevs'!$E$17,'Summary Avgs and Stdevs'!$E$19)</c:f>
                <c:numCache>
                  <c:formatCode>General</c:formatCode>
                  <c:ptCount val="8"/>
                  <c:pt idx="0">
                    <c:v>1.1902194008762478E-2</c:v>
                  </c:pt>
                  <c:pt idx="1">
                    <c:v>1.3046923860520632E-2</c:v>
                  </c:pt>
                  <c:pt idx="2">
                    <c:v>2.1415218192863052E-2</c:v>
                  </c:pt>
                  <c:pt idx="3">
                    <c:v>6.4951905283833081E-3</c:v>
                  </c:pt>
                  <c:pt idx="4">
                    <c:v>5.8736700622353515E-3</c:v>
                  </c:pt>
                  <c:pt idx="5">
                    <c:v>4.6904157598234159E-3</c:v>
                  </c:pt>
                  <c:pt idx="6">
                    <c:v>4.3999289766995164E-3</c:v>
                  </c:pt>
                  <c:pt idx="7">
                    <c:v>5.9319052588523626E-3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('Summary Avgs and Stdevs'!$E$2,'Summary Avgs and Stdevs'!$E$4,'Summary Avgs and Stdevs'!$E$8,'Summary Avgs and Stdevs'!$E$10,'Summary Avgs and Stdevs'!$E$12,'Summary Avgs and Stdevs'!$E$14,'Summary Avgs and Stdevs'!$E$16,'Summary Avgs and Stdevs'!$E$18)</c:f>
              <c:numCache>
                <c:formatCode>0.00</c:formatCode>
                <c:ptCount val="8"/>
                <c:pt idx="0">
                  <c:v>1.4909333333333334</c:v>
                </c:pt>
                <c:pt idx="1">
                  <c:v>1.5753333333333333</c:v>
                </c:pt>
                <c:pt idx="2">
                  <c:v>1.5044545454545455</c:v>
                </c:pt>
                <c:pt idx="3">
                  <c:v>1.51125</c:v>
                </c:pt>
                <c:pt idx="4">
                  <c:v>1.5920000000000001</c:v>
                </c:pt>
                <c:pt idx="5">
                  <c:v>1.5699999999999998</c:v>
                </c:pt>
                <c:pt idx="6">
                  <c:v>1.5358749999999999</c:v>
                </c:pt>
                <c:pt idx="7">
                  <c:v>1.55975</c:v>
                </c:pt>
              </c:numCache>
            </c:numRef>
          </c:xVal>
          <c:yVal>
            <c:numRef>
              <c:f>('Summary Avgs and Stdevs'!$I$2,'Summary Avgs and Stdevs'!$I$4,'Summary Avgs and Stdevs'!$I$8,'Summary Avgs and Stdevs'!$I$10,'Summary Avgs and Stdevs'!$I$12,'Summary Avgs and Stdevs'!$I$14,'Summary Avgs and Stdevs'!$I$16,'Summary Avgs and Stdevs'!$I$18)</c:f>
              <c:numCache>
                <c:formatCode>0.0E+00</c:formatCode>
                <c:ptCount val="8"/>
                <c:pt idx="0">
                  <c:v>5.1703093333333339E-6</c:v>
                </c:pt>
                <c:pt idx="1">
                  <c:v>-3.0585921851851861E-7</c:v>
                </c:pt>
                <c:pt idx="2">
                  <c:v>4.7726477272727267E-6</c:v>
                </c:pt>
                <c:pt idx="3">
                  <c:v>6.7669824999999994E-6</c:v>
                </c:pt>
                <c:pt idx="4">
                  <c:v>-3.6043999999999997E-6</c:v>
                </c:pt>
                <c:pt idx="5">
                  <c:v>1.3277832499999999E-7</c:v>
                </c:pt>
                <c:pt idx="6">
                  <c:v>3.7156612500000001E-6</c:v>
                </c:pt>
                <c:pt idx="7">
                  <c:v>1.288385E-6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B0-4A22-873C-CE58DA7C2D8C}"/>
            </c:ext>
          </c:extLst>
        </c:ser>
        <c:ser>
          <c:idx val="1"/>
          <c:order val="1"/>
          <c:tx>
            <c:v>Painted Lady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0008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('Summary Avgs and Stdevs'!$I$21,'Summary Avgs and Stdevs'!$I$23,'Summary Avgs and Stdevs'!$I$25,'Summary Avgs and Stdevs'!$I$27,'Summary Avgs and Stdevs'!$I$29,'Summary Avgs and Stdevs'!$I$31,'Summary Avgs and Stdevs'!$I$33,'Summary Avgs and Stdevs'!$I$35,'Summary Avgs and Stdevs'!$I$37,'Summary Avgs and Stdevs'!$I$39,'Summary Avgs and Stdevs'!$I$41)</c:f>
                <c:numCache>
                  <c:formatCode>General</c:formatCode>
                  <c:ptCount val="11"/>
                  <c:pt idx="0">
                    <c:v>3.4562198129281636E-7</c:v>
                  </c:pt>
                  <c:pt idx="1">
                    <c:v>7.5579710250152546E-7</c:v>
                  </c:pt>
                  <c:pt idx="2">
                    <c:v>2.3248667513254929E-6</c:v>
                  </c:pt>
                  <c:pt idx="3">
                    <c:v>1.3603001519751852E-6</c:v>
                  </c:pt>
                  <c:pt idx="4">
                    <c:v>9.597633436006351E-7</c:v>
                  </c:pt>
                  <c:pt idx="5">
                    <c:v>1.1148837332849231E-6</c:v>
                  </c:pt>
                  <c:pt idx="6">
                    <c:v>2.183961355206454E-6</c:v>
                  </c:pt>
                  <c:pt idx="7">
                    <c:v>8.0127735861833044E-7</c:v>
                  </c:pt>
                  <c:pt idx="8">
                    <c:v>3.4581829287612468E-6</c:v>
                  </c:pt>
                  <c:pt idx="9">
                    <c:v>2.3677831633151611E-6</c:v>
                  </c:pt>
                  <c:pt idx="10">
                    <c:v>2.6958920646034156E-6</c:v>
                  </c:pt>
                </c:numCache>
              </c:numRef>
            </c:plus>
            <c:minus>
              <c:numRef>
                <c:f>('Summary Avgs and Stdevs'!$I$21,'Summary Avgs and Stdevs'!$I$23,'Summary Avgs and Stdevs'!$I$25,'Summary Avgs and Stdevs'!$I$27,'Summary Avgs and Stdevs'!$I$29,'Summary Avgs and Stdevs'!$I$31,'Summary Avgs and Stdevs'!$I$33,'Summary Avgs and Stdevs'!$I$35,'Summary Avgs and Stdevs'!$I$37,'Summary Avgs and Stdevs'!$I$39,'Summary Avgs and Stdevs'!$I$41)</c:f>
                <c:numCache>
                  <c:formatCode>General</c:formatCode>
                  <c:ptCount val="11"/>
                  <c:pt idx="0">
                    <c:v>3.4562198129281636E-7</c:v>
                  </c:pt>
                  <c:pt idx="1">
                    <c:v>7.5579710250152546E-7</c:v>
                  </c:pt>
                  <c:pt idx="2">
                    <c:v>2.3248667513254929E-6</c:v>
                  </c:pt>
                  <c:pt idx="3">
                    <c:v>1.3603001519751852E-6</c:v>
                  </c:pt>
                  <c:pt idx="4">
                    <c:v>9.597633436006351E-7</c:v>
                  </c:pt>
                  <c:pt idx="5">
                    <c:v>1.1148837332849231E-6</c:v>
                  </c:pt>
                  <c:pt idx="6">
                    <c:v>2.183961355206454E-6</c:v>
                  </c:pt>
                  <c:pt idx="7">
                    <c:v>8.0127735861833044E-7</c:v>
                  </c:pt>
                  <c:pt idx="8">
                    <c:v>3.4581829287612468E-6</c:v>
                  </c:pt>
                  <c:pt idx="9">
                    <c:v>2.3677831633151611E-6</c:v>
                  </c:pt>
                  <c:pt idx="10">
                    <c:v>2.6958920646034156E-6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('Summary Avgs and Stdevs'!$E$21,'Summary Avgs and Stdevs'!$E$23,'Summary Avgs and Stdevs'!$E$25,'Summary Avgs and Stdevs'!$E$27,'Summary Avgs and Stdevs'!$E$29,'Summary Avgs and Stdevs'!$E$31,'Summary Avgs and Stdevs'!$E$33,'Summary Avgs and Stdevs'!$E$35,'Summary Avgs and Stdevs'!$E$37,'Summary Avgs and Stdevs'!$E$39,'Summary Avgs and Stdevs'!$E$41)</c:f>
                <c:numCache>
                  <c:formatCode>General</c:formatCode>
                  <c:ptCount val="11"/>
                  <c:pt idx="0">
                    <c:v>5.4114647386159717E-3</c:v>
                  </c:pt>
                  <c:pt idx="1">
                    <c:v>9.2855921847894273E-3</c:v>
                  </c:pt>
                  <c:pt idx="2">
                    <c:v>1.2247448713915449E-3</c:v>
                  </c:pt>
                  <c:pt idx="3">
                    <c:v>8.4578144954108331E-3</c:v>
                  </c:pt>
                  <c:pt idx="4">
                    <c:v>6.0639316075169255E-3</c:v>
                  </c:pt>
                  <c:pt idx="5">
                    <c:v>1.1145317951718482E-2</c:v>
                  </c:pt>
                  <c:pt idx="6">
                    <c:v>5.5595047691735693E-3</c:v>
                  </c:pt>
                  <c:pt idx="7">
                    <c:v>7.5273579506360388E-3</c:v>
                  </c:pt>
                  <c:pt idx="8">
                    <c:v>1.245888476244203E-2</c:v>
                  </c:pt>
                  <c:pt idx="9">
                    <c:v>8.2733004296955074E-3</c:v>
                  </c:pt>
                  <c:pt idx="10">
                    <c:v>9.9044820880295672E-3</c:v>
                  </c:pt>
                </c:numCache>
              </c:numRef>
            </c:plus>
            <c:minus>
              <c:numRef>
                <c:f>('Summary Avgs and Stdevs'!$E$21,'Summary Avgs and Stdevs'!$E$23,'Summary Avgs and Stdevs'!$E$25,'Summary Avgs and Stdevs'!$E$27,'Summary Avgs and Stdevs'!$E$29,'Summary Avgs and Stdevs'!$E$31,'Summary Avgs and Stdevs'!$E$33,'Summary Avgs and Stdevs'!$E$35,'Summary Avgs and Stdevs'!$E$37,'Summary Avgs and Stdevs'!$E$39,'Summary Avgs and Stdevs'!$E$41)</c:f>
                <c:numCache>
                  <c:formatCode>General</c:formatCode>
                  <c:ptCount val="11"/>
                  <c:pt idx="0">
                    <c:v>5.4114647386159717E-3</c:v>
                  </c:pt>
                  <c:pt idx="1">
                    <c:v>9.2855921847894273E-3</c:v>
                  </c:pt>
                  <c:pt idx="2">
                    <c:v>1.2247448713915449E-3</c:v>
                  </c:pt>
                  <c:pt idx="3">
                    <c:v>8.4578144954108331E-3</c:v>
                  </c:pt>
                  <c:pt idx="4">
                    <c:v>6.0639316075169255E-3</c:v>
                  </c:pt>
                  <c:pt idx="5">
                    <c:v>1.1145317951718482E-2</c:v>
                  </c:pt>
                  <c:pt idx="6">
                    <c:v>5.5595047691735693E-3</c:v>
                  </c:pt>
                  <c:pt idx="7">
                    <c:v>7.5273579506360388E-3</c:v>
                  </c:pt>
                  <c:pt idx="8">
                    <c:v>1.245888476244203E-2</c:v>
                  </c:pt>
                  <c:pt idx="9">
                    <c:v>8.2733004296955074E-3</c:v>
                  </c:pt>
                  <c:pt idx="10">
                    <c:v>9.9044820880295672E-3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('Summary Avgs and Stdevs'!$E$20,'Summary Avgs and Stdevs'!$E$22,'Summary Avgs and Stdevs'!$E$24,'Summary Avgs and Stdevs'!$E$26,'Summary Avgs and Stdevs'!$E$28,'Summary Avgs and Stdevs'!$E$30,'Summary Avgs and Stdevs'!$E$32,'Summary Avgs and Stdevs'!$E$34,'Summary Avgs and Stdevs'!$E$36,'Summary Avgs and Stdevs'!$E$38,'Summary Avgs and Stdevs'!$E$40)</c:f>
              <c:numCache>
                <c:formatCode>0.00</c:formatCode>
                <c:ptCount val="11"/>
                <c:pt idx="0">
                  <c:v>1.5627777777777778</c:v>
                </c:pt>
                <c:pt idx="1">
                  <c:v>1.5653333333333332</c:v>
                </c:pt>
                <c:pt idx="2">
                  <c:v>1.528</c:v>
                </c:pt>
                <c:pt idx="3">
                  <c:v>1.5407894736842109</c:v>
                </c:pt>
                <c:pt idx="4">
                  <c:v>1.5424782608695657</c:v>
                </c:pt>
                <c:pt idx="5">
                  <c:v>1.5431785714285713</c:v>
                </c:pt>
                <c:pt idx="6">
                  <c:v>1.5284074074074072</c:v>
                </c:pt>
                <c:pt idx="7">
                  <c:v>1.5435517241379304</c:v>
                </c:pt>
                <c:pt idx="8">
                  <c:v>1.4417857142857144</c:v>
                </c:pt>
                <c:pt idx="9">
                  <c:v>1.50695</c:v>
                </c:pt>
                <c:pt idx="10">
                  <c:v>1.5251111111111109</c:v>
                </c:pt>
              </c:numCache>
            </c:numRef>
          </c:xVal>
          <c:yVal>
            <c:numRef>
              <c:f>('Summary Avgs and Stdevs'!$I$20,'Summary Avgs and Stdevs'!$I$22,'Summary Avgs and Stdevs'!$I$24,'Summary Avgs and Stdevs'!$I$26,'Summary Avgs and Stdevs'!$I$28,'Summary Avgs and Stdevs'!$I$30,'Summary Avgs and Stdevs'!$I$32,'Summary Avgs and Stdevs'!$I$34,'Summary Avgs and Stdevs'!$I$36,'Summary Avgs and Stdevs'!$I$38,'Summary Avgs and Stdevs'!$I$40)</c:f>
              <c:numCache>
                <c:formatCode>0.0E+00</c:formatCode>
                <c:ptCount val="11"/>
                <c:pt idx="0">
                  <c:v>4.4038023999999989E-7</c:v>
                </c:pt>
                <c:pt idx="1">
                  <c:v>1.265580166666667E-7</c:v>
                </c:pt>
                <c:pt idx="2">
                  <c:v>5.8973174999999998E-6</c:v>
                </c:pt>
                <c:pt idx="3">
                  <c:v>3.1002968421052629E-6</c:v>
                </c:pt>
                <c:pt idx="4">
                  <c:v>2.8380960869565212E-6</c:v>
                </c:pt>
                <c:pt idx="5">
                  <c:v>1.8109899259259263E-6</c:v>
                </c:pt>
                <c:pt idx="6">
                  <c:v>2.6903078888888884E-6</c:v>
                </c:pt>
                <c:pt idx="7">
                  <c:v>1.9209941034482755E-6</c:v>
                </c:pt>
                <c:pt idx="8">
                  <c:v>9.9372721428571436E-6</c:v>
                </c:pt>
                <c:pt idx="9">
                  <c:v>7.4277274999999994E-6</c:v>
                </c:pt>
                <c:pt idx="10">
                  <c:v>5.589671666666667E-6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B0-4A22-873C-CE58DA7C2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563088"/>
        <c:axId val="240099712"/>
      </c:scatterChart>
      <c:valAx>
        <c:axId val="24556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Theta (</a:t>
                </a:r>
                <a:r>
                  <a:rPr lang="el-GR"/>
                  <a:t>θ</a:t>
                </a:r>
                <a:r>
                  <a:rPr lang="en-US"/>
                  <a:t>) [Radians]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0099712"/>
        <c:crosses val="autoZero"/>
        <c:crossBetween val="midCat"/>
      </c:valAx>
      <c:valAx>
        <c:axId val="24009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Horizontal Adhesion Force (Vadx) [N]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5563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Monarch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('Summary Avgs and Stdevs'!$F$3,'Summary Avgs and Stdevs'!$F$5,'Summary Avgs and Stdevs'!$F$9,'Summary Avgs and Stdevs'!$F$11,'Summary Avgs and Stdevs'!$F$13,'Summary Avgs and Stdevs'!$F$15,'Summary Avgs and Stdevs'!$F$17,'Summary Avgs and Stdevs'!$F$19)</c:f>
                <c:numCache>
                  <c:formatCode>General</c:formatCode>
                  <c:ptCount val="8"/>
                  <c:pt idx="0">
                    <c:v>5.3470119173069201E-5</c:v>
                  </c:pt>
                  <c:pt idx="1">
                    <c:v>5.3465515610021568E-5</c:v>
                  </c:pt>
                  <c:pt idx="2">
                    <c:v>2.761176726684979E-5</c:v>
                  </c:pt>
                  <c:pt idx="3">
                    <c:v>4.8123471363071303E-5</c:v>
                  </c:pt>
                  <c:pt idx="4">
                    <c:v>4.5776505983091373E-5</c:v>
                  </c:pt>
                  <c:pt idx="5">
                    <c:v>4.2058233568916098E-6</c:v>
                  </c:pt>
                  <c:pt idx="6">
                    <c:v>8.5858758717078456E-6</c:v>
                  </c:pt>
                  <c:pt idx="7">
                    <c:v>1.3406716324640239E-5</c:v>
                  </c:pt>
                </c:numCache>
              </c:numRef>
            </c:plus>
            <c:minus>
              <c:numRef>
                <c:f>('Summary Avgs and Stdevs'!$F$3,'Summary Avgs and Stdevs'!$F$5,'Summary Avgs and Stdevs'!$F$9,'Summary Avgs and Stdevs'!$F$11,'Summary Avgs and Stdevs'!$F$13,'Summary Avgs and Stdevs'!$F$15,'Summary Avgs and Stdevs'!$F$17,'Summary Avgs and Stdevs'!$F$19)</c:f>
                <c:numCache>
                  <c:formatCode>General</c:formatCode>
                  <c:ptCount val="8"/>
                  <c:pt idx="0">
                    <c:v>5.3470119173069201E-5</c:v>
                  </c:pt>
                  <c:pt idx="1">
                    <c:v>5.3465515610021568E-5</c:v>
                  </c:pt>
                  <c:pt idx="2">
                    <c:v>2.761176726684979E-5</c:v>
                  </c:pt>
                  <c:pt idx="3">
                    <c:v>4.8123471363071303E-5</c:v>
                  </c:pt>
                  <c:pt idx="4">
                    <c:v>4.5776505983091373E-5</c:v>
                  </c:pt>
                  <c:pt idx="5">
                    <c:v>4.2058233568916098E-6</c:v>
                  </c:pt>
                  <c:pt idx="6">
                    <c:v>8.5858758717078456E-6</c:v>
                  </c:pt>
                  <c:pt idx="7">
                    <c:v>1.3406716324640239E-5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('Summary Avgs and Stdevs'!$E$3,'Summary Avgs and Stdevs'!$E$5,'Summary Avgs and Stdevs'!$E$9,'Summary Avgs and Stdevs'!$E$11,'Summary Avgs and Stdevs'!$E$13,'Summary Avgs and Stdevs'!$E$15,'Summary Avgs and Stdevs'!$E$17,'Summary Avgs and Stdevs'!$E$19)</c:f>
                <c:numCache>
                  <c:formatCode>General</c:formatCode>
                  <c:ptCount val="8"/>
                  <c:pt idx="0">
                    <c:v>1.1902194008762478E-2</c:v>
                  </c:pt>
                  <c:pt idx="1">
                    <c:v>1.3046923860520632E-2</c:v>
                  </c:pt>
                  <c:pt idx="2">
                    <c:v>2.1415218192863052E-2</c:v>
                  </c:pt>
                  <c:pt idx="3">
                    <c:v>6.4951905283833081E-3</c:v>
                  </c:pt>
                  <c:pt idx="4">
                    <c:v>5.8736700622353515E-3</c:v>
                  </c:pt>
                  <c:pt idx="5">
                    <c:v>4.6904157598234159E-3</c:v>
                  </c:pt>
                  <c:pt idx="6">
                    <c:v>4.3999289766995164E-3</c:v>
                  </c:pt>
                  <c:pt idx="7">
                    <c:v>5.9319052588523626E-3</c:v>
                  </c:pt>
                </c:numCache>
              </c:numRef>
            </c:plus>
            <c:minus>
              <c:numRef>
                <c:f>('Summary Avgs and Stdevs'!$E$3,'Summary Avgs and Stdevs'!$E$5,'Summary Avgs and Stdevs'!$E$9,'Summary Avgs and Stdevs'!$E$11,'Summary Avgs and Stdevs'!$E$13,'Summary Avgs and Stdevs'!$E$15,'Summary Avgs and Stdevs'!$E$17,'Summary Avgs and Stdevs'!$E$19)</c:f>
                <c:numCache>
                  <c:formatCode>General</c:formatCode>
                  <c:ptCount val="8"/>
                  <c:pt idx="0">
                    <c:v>1.1902194008762478E-2</c:v>
                  </c:pt>
                  <c:pt idx="1">
                    <c:v>1.3046923860520632E-2</c:v>
                  </c:pt>
                  <c:pt idx="2">
                    <c:v>2.1415218192863052E-2</c:v>
                  </c:pt>
                  <c:pt idx="3">
                    <c:v>6.4951905283833081E-3</c:v>
                  </c:pt>
                  <c:pt idx="4">
                    <c:v>5.8736700622353515E-3</c:v>
                  </c:pt>
                  <c:pt idx="5">
                    <c:v>4.6904157598234159E-3</c:v>
                  </c:pt>
                  <c:pt idx="6">
                    <c:v>4.3999289766995164E-3</c:v>
                  </c:pt>
                  <c:pt idx="7">
                    <c:v>5.9319052588523626E-3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('Summary Avgs and Stdevs'!$E$2,'Summary Avgs and Stdevs'!$E$4,'Summary Avgs and Stdevs'!$E$8,'Summary Avgs and Stdevs'!$E$10,'Summary Avgs and Stdevs'!$E$12,'Summary Avgs and Stdevs'!$E$14,'Summary Avgs and Stdevs'!$E$16,'Summary Avgs and Stdevs'!$E$18)</c:f>
              <c:numCache>
                <c:formatCode>0.00</c:formatCode>
                <c:ptCount val="8"/>
                <c:pt idx="0">
                  <c:v>1.4909333333333334</c:v>
                </c:pt>
                <c:pt idx="1">
                  <c:v>1.5753333333333333</c:v>
                </c:pt>
                <c:pt idx="2">
                  <c:v>1.5044545454545455</c:v>
                </c:pt>
                <c:pt idx="3">
                  <c:v>1.51125</c:v>
                </c:pt>
                <c:pt idx="4">
                  <c:v>1.5920000000000001</c:v>
                </c:pt>
                <c:pt idx="5">
                  <c:v>1.5699999999999998</c:v>
                </c:pt>
                <c:pt idx="6">
                  <c:v>1.5358749999999999</c:v>
                </c:pt>
                <c:pt idx="7">
                  <c:v>1.55975</c:v>
                </c:pt>
              </c:numCache>
            </c:numRef>
          </c:xVal>
          <c:yVal>
            <c:numRef>
              <c:f>('Summary Avgs and Stdevs'!$F$2,'Summary Avgs and Stdevs'!$F$4,'Summary Avgs and Stdevs'!$F$8,'Summary Avgs and Stdevs'!$F$10,'Summary Avgs and Stdevs'!$F$12,'Summary Avgs and Stdevs'!$F$14,'Summary Avgs and Stdevs'!$F$16,'Summary Avgs and Stdevs'!$F$18)</c:f>
              <c:numCache>
                <c:formatCode>0.0E+00</c:formatCode>
                <c:ptCount val="8"/>
                <c:pt idx="0">
                  <c:v>-1.9301853333333332E-4</c:v>
                </c:pt>
                <c:pt idx="1">
                  <c:v>-2.2207104814814818E-4</c:v>
                </c:pt>
                <c:pt idx="2">
                  <c:v>-1.3450986363636362E-4</c:v>
                </c:pt>
                <c:pt idx="3">
                  <c:v>-1.016061375E-4</c:v>
                </c:pt>
                <c:pt idx="4">
                  <c:v>-1.0493879999999999E-4</c:v>
                </c:pt>
                <c:pt idx="5">
                  <c:v>-1.9541812499999998E-4</c:v>
                </c:pt>
                <c:pt idx="6">
                  <c:v>-2.0956437500000002E-4</c:v>
                </c:pt>
                <c:pt idx="7">
                  <c:v>-1.55554875E-4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09-4641-99DB-84568C714684}"/>
            </c:ext>
          </c:extLst>
        </c:ser>
        <c:ser>
          <c:idx val="1"/>
          <c:order val="1"/>
          <c:tx>
            <c:v>Painted Lady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0008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('Summary Avgs and Stdevs'!$F$21,'Summary Avgs and Stdevs'!$F$23,'Summary Avgs and Stdevs'!$F$25,'Summary Avgs and Stdevs'!$F$27,'Summary Avgs and Stdevs'!$F$29,'Summary Avgs and Stdevs'!$F$31,'Summary Avgs and Stdevs'!$F$33,'Summary Avgs and Stdevs'!$F$35,'Summary Avgs and Stdevs'!$F$37,'Summary Avgs and Stdevs'!$F$39,'Summary Avgs and Stdevs'!$F$41)</c:f>
                <c:numCache>
                  <c:formatCode>General</c:formatCode>
                  <c:ptCount val="11"/>
                  <c:pt idx="0">
                    <c:v>2.7077778474444892E-5</c:v>
                  </c:pt>
                  <c:pt idx="1">
                    <c:v>4.5595859192170318E-5</c:v>
                  </c:pt>
                  <c:pt idx="2">
                    <c:v>5.0770921262963109E-5</c:v>
                  </c:pt>
                  <c:pt idx="3">
                    <c:v>3.2908472889344142E-5</c:v>
                  </c:pt>
                  <c:pt idx="4">
                    <c:v>3.8383552269075057E-5</c:v>
                  </c:pt>
                  <c:pt idx="5">
                    <c:v>3.5924096189280408E-5</c:v>
                  </c:pt>
                  <c:pt idx="6">
                    <c:v>3.932685751793647E-5</c:v>
                  </c:pt>
                  <c:pt idx="7">
                    <c:v>2.2899289786283656E-5</c:v>
                  </c:pt>
                  <c:pt idx="8">
                    <c:v>3.4965505603127401E-5</c:v>
                  </c:pt>
                  <c:pt idx="9">
                    <c:v>5.0051240684896857E-5</c:v>
                  </c:pt>
                  <c:pt idx="10">
                    <c:v>6.2031734355602372E-5</c:v>
                  </c:pt>
                </c:numCache>
              </c:numRef>
            </c:plus>
            <c:minus>
              <c:numRef>
                <c:f>('Summary Avgs and Stdevs'!$F$21,'Summary Avgs and Stdevs'!$F$23,'Summary Avgs and Stdevs'!$F$25,'Summary Avgs and Stdevs'!$F$27,'Summary Avgs and Stdevs'!$F$29,'Summary Avgs and Stdevs'!$F$31,'Summary Avgs and Stdevs'!$F$33,'Summary Avgs and Stdevs'!$F$35,'Summary Avgs and Stdevs'!$F$37,'Summary Avgs and Stdevs'!$F$39,'Summary Avgs and Stdevs'!$F$41)</c:f>
                <c:numCache>
                  <c:formatCode>General</c:formatCode>
                  <c:ptCount val="11"/>
                  <c:pt idx="0">
                    <c:v>2.7077778474444892E-5</c:v>
                  </c:pt>
                  <c:pt idx="1">
                    <c:v>4.5595859192170318E-5</c:v>
                  </c:pt>
                  <c:pt idx="2">
                    <c:v>5.0770921262963109E-5</c:v>
                  </c:pt>
                  <c:pt idx="3">
                    <c:v>3.2908472889344142E-5</c:v>
                  </c:pt>
                  <c:pt idx="4">
                    <c:v>3.8383552269075057E-5</c:v>
                  </c:pt>
                  <c:pt idx="5">
                    <c:v>3.5924096189280408E-5</c:v>
                  </c:pt>
                  <c:pt idx="6">
                    <c:v>3.932685751793647E-5</c:v>
                  </c:pt>
                  <c:pt idx="7">
                    <c:v>2.2899289786283656E-5</c:v>
                  </c:pt>
                  <c:pt idx="8">
                    <c:v>3.4965505603127401E-5</c:v>
                  </c:pt>
                  <c:pt idx="9">
                    <c:v>5.0051240684896857E-5</c:v>
                  </c:pt>
                  <c:pt idx="10">
                    <c:v>6.2031734355602372E-5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('Summary Avgs and Stdevs'!$E$21,'Summary Avgs and Stdevs'!$E$23,'Summary Avgs and Stdevs'!$E$25,'Summary Avgs and Stdevs'!$E$27,'Summary Avgs and Stdevs'!$E$29,'Summary Avgs and Stdevs'!$E$31,'Summary Avgs and Stdevs'!$E$33,'Summary Avgs and Stdevs'!$E$35,'Summary Avgs and Stdevs'!$E$37,'Summary Avgs and Stdevs'!$E$39,'Summary Avgs and Stdevs'!$E$41)</c:f>
                <c:numCache>
                  <c:formatCode>General</c:formatCode>
                  <c:ptCount val="11"/>
                  <c:pt idx="0">
                    <c:v>5.4114647386159717E-3</c:v>
                  </c:pt>
                  <c:pt idx="1">
                    <c:v>9.2855921847894273E-3</c:v>
                  </c:pt>
                  <c:pt idx="2">
                    <c:v>1.2247448713915449E-3</c:v>
                  </c:pt>
                  <c:pt idx="3">
                    <c:v>8.4578144954108331E-3</c:v>
                  </c:pt>
                  <c:pt idx="4">
                    <c:v>6.0639316075169255E-3</c:v>
                  </c:pt>
                  <c:pt idx="5">
                    <c:v>1.1145317951718482E-2</c:v>
                  </c:pt>
                  <c:pt idx="6">
                    <c:v>5.5595047691735693E-3</c:v>
                  </c:pt>
                  <c:pt idx="7">
                    <c:v>7.5273579506360388E-3</c:v>
                  </c:pt>
                  <c:pt idx="8">
                    <c:v>1.245888476244203E-2</c:v>
                  </c:pt>
                  <c:pt idx="9">
                    <c:v>8.2733004296955074E-3</c:v>
                  </c:pt>
                  <c:pt idx="10">
                    <c:v>9.9044820880295672E-3</c:v>
                  </c:pt>
                </c:numCache>
              </c:numRef>
            </c:plus>
            <c:minus>
              <c:numRef>
                <c:f>('Summary Avgs and Stdevs'!$E$21,'Summary Avgs and Stdevs'!$E$23,'Summary Avgs and Stdevs'!$E$25,'Summary Avgs and Stdevs'!$E$27,'Summary Avgs and Stdevs'!$E$29,'Summary Avgs and Stdevs'!$E$31,'Summary Avgs and Stdevs'!$E$33,'Summary Avgs and Stdevs'!$E$35,'Summary Avgs and Stdevs'!$E$37,'Summary Avgs and Stdevs'!$E$39,'Summary Avgs and Stdevs'!$E$41)</c:f>
                <c:numCache>
                  <c:formatCode>General</c:formatCode>
                  <c:ptCount val="11"/>
                  <c:pt idx="0">
                    <c:v>5.4114647386159717E-3</c:v>
                  </c:pt>
                  <c:pt idx="1">
                    <c:v>9.2855921847894273E-3</c:v>
                  </c:pt>
                  <c:pt idx="2">
                    <c:v>1.2247448713915449E-3</c:v>
                  </c:pt>
                  <c:pt idx="3">
                    <c:v>8.4578144954108331E-3</c:v>
                  </c:pt>
                  <c:pt idx="4">
                    <c:v>6.0639316075169255E-3</c:v>
                  </c:pt>
                  <c:pt idx="5">
                    <c:v>1.1145317951718482E-2</c:v>
                  </c:pt>
                  <c:pt idx="6">
                    <c:v>5.5595047691735693E-3</c:v>
                  </c:pt>
                  <c:pt idx="7">
                    <c:v>7.5273579506360388E-3</c:v>
                  </c:pt>
                  <c:pt idx="8">
                    <c:v>1.245888476244203E-2</c:v>
                  </c:pt>
                  <c:pt idx="9">
                    <c:v>8.2733004296955074E-3</c:v>
                  </c:pt>
                  <c:pt idx="10">
                    <c:v>9.9044820880295672E-3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('Summary Avgs and Stdevs'!$E$20,'Summary Avgs and Stdevs'!$E$22,'Summary Avgs and Stdevs'!$E$24,'Summary Avgs and Stdevs'!$E$26,'Summary Avgs and Stdevs'!$E$28,'Summary Avgs and Stdevs'!$E$30,'Summary Avgs and Stdevs'!$E$32,'Summary Avgs and Stdevs'!$E$34,'Summary Avgs and Stdevs'!$E$36,'Summary Avgs and Stdevs'!$E$38,'Summary Avgs and Stdevs'!$E$40)</c:f>
              <c:numCache>
                <c:formatCode>0.00</c:formatCode>
                <c:ptCount val="11"/>
                <c:pt idx="0">
                  <c:v>1.5627777777777778</c:v>
                </c:pt>
                <c:pt idx="1">
                  <c:v>1.5653333333333332</c:v>
                </c:pt>
                <c:pt idx="2">
                  <c:v>1.528</c:v>
                </c:pt>
                <c:pt idx="3">
                  <c:v>1.5407894736842109</c:v>
                </c:pt>
                <c:pt idx="4">
                  <c:v>1.5424782608695657</c:v>
                </c:pt>
                <c:pt idx="5">
                  <c:v>1.5431785714285713</c:v>
                </c:pt>
                <c:pt idx="6">
                  <c:v>1.5284074074074072</c:v>
                </c:pt>
                <c:pt idx="7">
                  <c:v>1.5435517241379304</c:v>
                </c:pt>
                <c:pt idx="8">
                  <c:v>1.4417857142857144</c:v>
                </c:pt>
                <c:pt idx="9">
                  <c:v>1.50695</c:v>
                </c:pt>
                <c:pt idx="10">
                  <c:v>1.5251111111111109</c:v>
                </c:pt>
              </c:numCache>
            </c:numRef>
          </c:xVal>
          <c:yVal>
            <c:numRef>
              <c:f>('Summary Avgs and Stdevs'!$F$20,'Summary Avgs and Stdevs'!$F$22,'Summary Avgs and Stdevs'!$F$24,'Summary Avgs and Stdevs'!$F$26,'Summary Avgs and Stdevs'!$F$28,'Summary Avgs and Stdevs'!$F$30,'Summary Avgs and Stdevs'!$F$32,'Summary Avgs and Stdevs'!$F$34,'Summary Avgs and Stdevs'!$F$36,'Summary Avgs and Stdevs'!$F$38,'Summary Avgs and Stdevs'!$F$40)</c:f>
              <c:numCache>
                <c:formatCode>0.0E+00</c:formatCode>
                <c:ptCount val="11"/>
                <c:pt idx="0">
                  <c:v>-1.5288899999999999E-4</c:v>
                </c:pt>
                <c:pt idx="1">
                  <c:v>-1.0466516666666666E-4</c:v>
                </c:pt>
                <c:pt idx="2">
                  <c:v>-9.4875099999999996E-5</c:v>
                </c:pt>
                <c:pt idx="3">
                  <c:v>-1.230348842105263E-4</c:v>
                </c:pt>
                <c:pt idx="4">
                  <c:v>-1.154973391304348E-4</c:v>
                </c:pt>
                <c:pt idx="5">
                  <c:v>-1.3611733928571432E-4</c:v>
                </c:pt>
                <c:pt idx="6">
                  <c:v>-1.1160601481481484E-4</c:v>
                </c:pt>
                <c:pt idx="7">
                  <c:v>-1.3438659655172413E-4</c:v>
                </c:pt>
                <c:pt idx="8">
                  <c:v>-9.1814749999999997E-5</c:v>
                </c:pt>
                <c:pt idx="9">
                  <c:v>-1.17476905E-4</c:v>
                </c:pt>
                <c:pt idx="10">
                  <c:v>-9.2762321111111094E-5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09-4641-99DB-84568C714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093552"/>
        <c:axId val="240092992"/>
      </c:scatterChart>
      <c:valAx>
        <c:axId val="24009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Theta (</a:t>
                </a:r>
                <a:r>
                  <a:rPr lang="el-GR"/>
                  <a:t>θ</a:t>
                </a:r>
                <a:r>
                  <a:rPr lang="en-US"/>
                  <a:t>) [Radians]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0092992"/>
        <c:crosses val="autoZero"/>
        <c:crossBetween val="midCat"/>
      </c:valAx>
      <c:valAx>
        <c:axId val="24009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Vertical Adhesion Force (Vady) [N]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0093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8429268630967"/>
          <c:y val="4.4635596840553786E-2"/>
          <c:w val="0.59512526891180351"/>
          <c:h val="0.8518909741199806"/>
        </c:manualLayout>
      </c:layout>
      <c:scatterChart>
        <c:scatterStyle val="lineMarker"/>
        <c:varyColors val="0"/>
        <c:ser>
          <c:idx val="0"/>
          <c:order val="0"/>
          <c:tx>
            <c:v>Monarch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6600"/>
                </a:solidFill>
                <a:prstDash val="solid"/>
              </a:ln>
              <a:effectLst/>
            </c:spPr>
            <c:trendlineType val="linear"/>
            <c:forward val="3"/>
            <c:backward val="3"/>
            <c:dispRSqr val="0"/>
            <c:dispEq val="0"/>
          </c:trendline>
          <c:errBars>
            <c:errDir val="x"/>
            <c:errBarType val="both"/>
            <c:errValType val="cust"/>
            <c:noEndCap val="0"/>
            <c:plus>
              <c:numRef>
                <c:f>('Summary Avgs and Stdevs'!$D$3,'Summary Avgs and Stdevs'!$D$5,'Summary Avgs and Stdevs'!$D$9,'Summary Avgs and Stdevs'!$D$11,'Summary Avgs and Stdevs'!$D$13,'Summary Avgs and Stdevs'!$D$15,'Summary Avgs and Stdevs'!$D$17,'Summary Avgs and Stdevs'!$D$19)</c:f>
                <c:numCache>
                  <c:formatCode>General</c:formatCode>
                  <c:ptCount val="8"/>
                  <c:pt idx="0">
                    <c:v>1.1302370823071983</c:v>
                  </c:pt>
                  <c:pt idx="1">
                    <c:v>5.4692722103009555</c:v>
                  </c:pt>
                  <c:pt idx="2">
                    <c:v>4.4433777899586175</c:v>
                  </c:pt>
                  <c:pt idx="3">
                    <c:v>6.4636046912694143</c:v>
                  </c:pt>
                  <c:pt idx="4">
                    <c:v>2.3475910051582622</c:v>
                  </c:pt>
                  <c:pt idx="5">
                    <c:v>0.23566859676248714</c:v>
                  </c:pt>
                  <c:pt idx="6">
                    <c:v>0.19038229139024426</c:v>
                  </c:pt>
                  <c:pt idx="7">
                    <c:v>0.2014037545423373</c:v>
                  </c:pt>
                </c:numCache>
              </c:numRef>
            </c:plus>
            <c:minus>
              <c:numRef>
                <c:f>('Summary Avgs and Stdevs'!$D$3,'Summary Avgs and Stdevs'!$D$5,'Summary Avgs and Stdevs'!$D$9,'Summary Avgs and Stdevs'!$D$11,'Summary Avgs and Stdevs'!$D$13,'Summary Avgs and Stdevs'!$D$15,'Summary Avgs and Stdevs'!$D$17,'Summary Avgs and Stdevs'!$D$19)</c:f>
                <c:numCache>
                  <c:formatCode>General</c:formatCode>
                  <c:ptCount val="8"/>
                  <c:pt idx="0">
                    <c:v>1.1302370823071983</c:v>
                  </c:pt>
                  <c:pt idx="1">
                    <c:v>5.4692722103009555</c:v>
                  </c:pt>
                  <c:pt idx="2">
                    <c:v>4.4433777899586175</c:v>
                  </c:pt>
                  <c:pt idx="3">
                    <c:v>6.4636046912694143</c:v>
                  </c:pt>
                  <c:pt idx="4">
                    <c:v>2.3475910051582622</c:v>
                  </c:pt>
                  <c:pt idx="5">
                    <c:v>0.23566859676248714</c:v>
                  </c:pt>
                  <c:pt idx="6">
                    <c:v>0.19038229139024426</c:v>
                  </c:pt>
                  <c:pt idx="7">
                    <c:v>0.2014037545423373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('Summary Avgs and Stdevs'!$K$3,'Summary Avgs and Stdevs'!$K$5,'Summary Avgs and Stdevs'!$K$9,'Summary Avgs and Stdevs'!$K$11,'Summary Avgs and Stdevs'!$K$13,'Summary Avgs and Stdevs'!$K$15,'Summary Avgs and Stdevs'!$K$17,'Summary Avgs and Stdevs'!$K$19)</c:f>
                <c:numCache>
                  <c:formatCode>General</c:formatCode>
                  <c:ptCount val="8"/>
                  <c:pt idx="0">
                    <c:v>2.9662861904633102E-5</c:v>
                  </c:pt>
                  <c:pt idx="1">
                    <c:v>6.3567549330399578E-5</c:v>
                  </c:pt>
                  <c:pt idx="2">
                    <c:v>3.7269825398456125E-5</c:v>
                  </c:pt>
                  <c:pt idx="3">
                    <c:v>6.3183706744574384E-5</c:v>
                  </c:pt>
                  <c:pt idx="4">
                    <c:v>4.4937929838695285E-5</c:v>
                  </c:pt>
                  <c:pt idx="5">
                    <c:v>6.1208748915085634E-6</c:v>
                  </c:pt>
                  <c:pt idx="6">
                    <c:v>5.6944375655107624E-6</c:v>
                  </c:pt>
                  <c:pt idx="7">
                    <c:v>8.9968557007434442E-6</c:v>
                  </c:pt>
                </c:numCache>
              </c:numRef>
            </c:plus>
            <c:minus>
              <c:numRef>
                <c:f>('Summary Avgs and Stdevs'!$K$3,'Summary Avgs and Stdevs'!$K$5,'Summary Avgs and Stdevs'!$K$9,'Summary Avgs and Stdevs'!$K$11,'Summary Avgs and Stdevs'!$K$13,'Summary Avgs and Stdevs'!$K$15,'Summary Avgs and Stdevs'!$K$17,'Summary Avgs and Stdevs'!$K$19)</c:f>
                <c:numCache>
                  <c:formatCode>General</c:formatCode>
                  <c:ptCount val="8"/>
                  <c:pt idx="0">
                    <c:v>2.9662861904633102E-5</c:v>
                  </c:pt>
                  <c:pt idx="1">
                    <c:v>6.3567549330399578E-5</c:v>
                  </c:pt>
                  <c:pt idx="2">
                    <c:v>3.7269825398456125E-5</c:v>
                  </c:pt>
                  <c:pt idx="3">
                    <c:v>6.3183706744574384E-5</c:v>
                  </c:pt>
                  <c:pt idx="4">
                    <c:v>4.4937929838695285E-5</c:v>
                  </c:pt>
                  <c:pt idx="5">
                    <c:v>6.1208748915085634E-6</c:v>
                  </c:pt>
                  <c:pt idx="6">
                    <c:v>5.6944375655107624E-6</c:v>
                  </c:pt>
                  <c:pt idx="7">
                    <c:v>8.9968557007434442E-6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('Summary Avgs and Stdevs'!$D$2,'Summary Avgs and Stdevs'!$D$4,'Summary Avgs and Stdevs'!$D$8,'Summary Avgs and Stdevs'!$D$10,'Summary Avgs and Stdevs'!$D$12,'Summary Avgs and Stdevs'!$D$14,'Summary Avgs and Stdevs'!$D$16,'Summary Avgs and Stdevs'!$D$18)</c:f>
              <c:numCache>
                <c:formatCode>0.00</c:formatCode>
                <c:ptCount val="8"/>
                <c:pt idx="0">
                  <c:v>11.02093333333333</c:v>
                </c:pt>
                <c:pt idx="1">
                  <c:v>22.635033333333336</c:v>
                </c:pt>
                <c:pt idx="2">
                  <c:v>11.475554545454544</c:v>
                </c:pt>
                <c:pt idx="3">
                  <c:v>11.900700000000001</c:v>
                </c:pt>
                <c:pt idx="4">
                  <c:v>12.895350000000001</c:v>
                </c:pt>
                <c:pt idx="5">
                  <c:v>10.641999999999999</c:v>
                </c:pt>
                <c:pt idx="6">
                  <c:v>13.844224999999998</c:v>
                </c:pt>
                <c:pt idx="7">
                  <c:v>13.5209625</c:v>
                </c:pt>
              </c:numCache>
            </c:numRef>
          </c:xVal>
          <c:yVal>
            <c:numRef>
              <c:f>('Summary Avgs and Stdevs'!$K$2,'Summary Avgs and Stdevs'!$K$4,'Summary Avgs and Stdevs'!$K$8,'Summary Avgs and Stdevs'!$K$10,'Summary Avgs and Stdevs'!$K$12,'Summary Avgs and Stdevs'!$K$14,'Summary Avgs and Stdevs'!$K$16,'Summary Avgs and Stdevs'!$K$18)</c:f>
              <c:numCache>
                <c:formatCode>0.0E+00</c:formatCode>
                <c:ptCount val="8"/>
                <c:pt idx="0">
                  <c:v>-2.6040440000000002E-4</c:v>
                </c:pt>
                <c:pt idx="1">
                  <c:v>-3.290460407407408E-4</c:v>
                </c:pt>
                <c:pt idx="2">
                  <c:v>-2.0890936363636363E-4</c:v>
                </c:pt>
                <c:pt idx="3">
                  <c:v>-2.1578837500000001E-4</c:v>
                </c:pt>
                <c:pt idx="4">
                  <c:v>-2.7543325000000003E-4</c:v>
                </c:pt>
                <c:pt idx="5">
                  <c:v>-2.6735824999999996E-4</c:v>
                </c:pt>
                <c:pt idx="6">
                  <c:v>-3.1629175E-4</c:v>
                </c:pt>
                <c:pt idx="7">
                  <c:v>-2.7058899999999995E-4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24-4438-B0D2-9C6573A75345}"/>
            </c:ext>
          </c:extLst>
        </c:ser>
        <c:ser>
          <c:idx val="1"/>
          <c:order val="1"/>
          <c:tx>
            <c:v>Painted Lady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0008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800080"/>
                </a:solidFill>
                <a:prstDash val="solid"/>
              </a:ln>
              <a:effectLst/>
            </c:spPr>
            <c:trendlineType val="linear"/>
            <c:forward val="3"/>
            <c:backward val="3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('Summary Avgs and Stdevs'!$K$21,'Summary Avgs and Stdevs'!$K$23,'Summary Avgs and Stdevs'!$K$25,'Summary Avgs and Stdevs'!$K$27,'Summary Avgs and Stdevs'!$K$29,'Summary Avgs and Stdevs'!$K$31,'Summary Avgs and Stdevs'!$K$33,'Summary Avgs and Stdevs'!$K$35,'Summary Avgs and Stdevs'!$K$37,'Summary Avgs and Stdevs'!$K$39,'Summary Avgs and Stdevs'!$K$41)</c:f>
                <c:numCache>
                  <c:formatCode>General</c:formatCode>
                  <c:ptCount val="11"/>
                  <c:pt idx="0">
                    <c:v>2.4394084319313515E-5</c:v>
                  </c:pt>
                  <c:pt idx="1">
                    <c:v>2.8747960202517938E-5</c:v>
                  </c:pt>
                  <c:pt idx="2">
                    <c:v>9.9390778621560482E-7</c:v>
                  </c:pt>
                  <c:pt idx="3">
                    <c:v>3.3455766369219533E-5</c:v>
                  </c:pt>
                  <c:pt idx="4">
                    <c:v>2.9322556787815575E-5</c:v>
                  </c:pt>
                  <c:pt idx="5">
                    <c:v>3.825703901138151E-5</c:v>
                  </c:pt>
                  <c:pt idx="6">
                    <c:v>3.9856598433354045E-5</c:v>
                  </c:pt>
                  <c:pt idx="7">
                    <c:v>3.3790522062208859E-5</c:v>
                  </c:pt>
                  <c:pt idx="8">
                    <c:v>8.5421071418016677E-5</c:v>
                  </c:pt>
                  <c:pt idx="9">
                    <c:v>4.1720939806169275E-5</c:v>
                  </c:pt>
                  <c:pt idx="10">
                    <c:v>6.8806414390907864E-5</c:v>
                  </c:pt>
                </c:numCache>
              </c:numRef>
            </c:plus>
            <c:minus>
              <c:numRef>
                <c:f>('Summary Avgs and Stdevs'!$K$21,'Summary Avgs and Stdevs'!$K$23,'Summary Avgs and Stdevs'!$K$25,'Summary Avgs and Stdevs'!$K$27,'Summary Avgs and Stdevs'!$K$29,'Summary Avgs and Stdevs'!$K$31,'Summary Avgs and Stdevs'!$K$33,'Summary Avgs and Stdevs'!$K$35,'Summary Avgs and Stdevs'!$K$37,'Summary Avgs and Stdevs'!$K$39,'Summary Avgs and Stdevs'!$K$41)</c:f>
                <c:numCache>
                  <c:formatCode>General</c:formatCode>
                  <c:ptCount val="11"/>
                  <c:pt idx="0">
                    <c:v>2.4394084319313515E-5</c:v>
                  </c:pt>
                  <c:pt idx="1">
                    <c:v>2.8747960202517938E-5</c:v>
                  </c:pt>
                  <c:pt idx="2">
                    <c:v>9.9390778621560482E-7</c:v>
                  </c:pt>
                  <c:pt idx="3">
                    <c:v>3.3455766369219533E-5</c:v>
                  </c:pt>
                  <c:pt idx="4">
                    <c:v>2.9322556787815575E-5</c:v>
                  </c:pt>
                  <c:pt idx="5">
                    <c:v>3.825703901138151E-5</c:v>
                  </c:pt>
                  <c:pt idx="6">
                    <c:v>3.9856598433354045E-5</c:v>
                  </c:pt>
                  <c:pt idx="7">
                    <c:v>3.3790522062208859E-5</c:v>
                  </c:pt>
                  <c:pt idx="8">
                    <c:v>8.5421071418016677E-5</c:v>
                  </c:pt>
                  <c:pt idx="9">
                    <c:v>4.1720939806169275E-5</c:v>
                  </c:pt>
                  <c:pt idx="10">
                    <c:v>6.8806414390907864E-5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('Summary Avgs and Stdevs'!$D$21,'Summary Avgs and Stdevs'!$D$23,'Summary Avgs and Stdevs'!$D$25,'Summary Avgs and Stdevs'!$D$27,'Summary Avgs and Stdevs'!$D$29,'Summary Avgs and Stdevs'!$D$31,'Summary Avgs and Stdevs'!$D$33,'Summary Avgs and Stdevs'!$D$35,'Summary Avgs and Stdevs'!$D$37,'Summary Avgs and Stdevs'!$D$39,'Summary Avgs and Stdevs'!$D$41)</c:f>
                <c:numCache>
                  <c:formatCode>General</c:formatCode>
                  <c:ptCount val="11"/>
                  <c:pt idx="0">
                    <c:v>0.76868627677275914</c:v>
                  </c:pt>
                  <c:pt idx="1">
                    <c:v>1.2348515763263033</c:v>
                  </c:pt>
                  <c:pt idx="2">
                    <c:v>0</c:v>
                  </c:pt>
                  <c:pt idx="3">
                    <c:v>4.6383817126318547</c:v>
                  </c:pt>
                  <c:pt idx="4">
                    <c:v>1.3861726894821649</c:v>
                  </c:pt>
                  <c:pt idx="5">
                    <c:v>1.8593681028169129</c:v>
                  </c:pt>
                  <c:pt idx="6">
                    <c:v>2.2689967391629202</c:v>
                  </c:pt>
                  <c:pt idx="7">
                    <c:v>2.247967743589494</c:v>
                  </c:pt>
                  <c:pt idx="8">
                    <c:v>0.6931769199026423</c:v>
                  </c:pt>
                  <c:pt idx="9">
                    <c:v>3.0100675931405654</c:v>
                  </c:pt>
                  <c:pt idx="10">
                    <c:v>3.3830870737235075</c:v>
                  </c:pt>
                </c:numCache>
              </c:numRef>
            </c:plus>
            <c:minus>
              <c:numRef>
                <c:f>('Summary Avgs and Stdevs'!$D$21,'Summary Avgs and Stdevs'!$D$23,'Summary Avgs and Stdevs'!$D$25,'Summary Avgs and Stdevs'!$D$27,'Summary Avgs and Stdevs'!$D$29,'Summary Avgs and Stdevs'!$D$31,'Summary Avgs and Stdevs'!$D$33,'Summary Avgs and Stdevs'!$D$35,'Summary Avgs and Stdevs'!$D$37,'Summary Avgs and Stdevs'!$D$39,'Summary Avgs and Stdevs'!$D$41)</c:f>
                <c:numCache>
                  <c:formatCode>General</c:formatCode>
                  <c:ptCount val="11"/>
                  <c:pt idx="0">
                    <c:v>0.76868627677275914</c:v>
                  </c:pt>
                  <c:pt idx="1">
                    <c:v>1.2348515763263033</c:v>
                  </c:pt>
                  <c:pt idx="2">
                    <c:v>0</c:v>
                  </c:pt>
                  <c:pt idx="3">
                    <c:v>4.6383817126318547</c:v>
                  </c:pt>
                  <c:pt idx="4">
                    <c:v>1.3861726894821649</c:v>
                  </c:pt>
                  <c:pt idx="5">
                    <c:v>1.8593681028169129</c:v>
                  </c:pt>
                  <c:pt idx="6">
                    <c:v>2.2689967391629202</c:v>
                  </c:pt>
                  <c:pt idx="7">
                    <c:v>2.247967743589494</c:v>
                  </c:pt>
                  <c:pt idx="8">
                    <c:v>0.6931769199026423</c:v>
                  </c:pt>
                  <c:pt idx="9">
                    <c:v>3.0100675931405654</c:v>
                  </c:pt>
                  <c:pt idx="10">
                    <c:v>3.3830870737235075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('Summary Avgs and Stdevs'!$D$20,'Summary Avgs and Stdevs'!$D$22,'Summary Avgs and Stdevs'!$D$24,'Summary Avgs and Stdevs'!$D$26,'Summary Avgs and Stdevs'!$D$28,'Summary Avgs and Stdevs'!$D$30,'Summary Avgs and Stdevs'!$D$32,'Summary Avgs and Stdevs'!$D$34,'Summary Avgs and Stdevs'!$D$36,'Summary Avgs and Stdevs'!$D$38,'Summary Avgs and Stdevs'!$D$40)</c:f>
              <c:numCache>
                <c:formatCode>0.00</c:formatCode>
                <c:ptCount val="11"/>
                <c:pt idx="0">
                  <c:v>8.0673111111111133</c:v>
                </c:pt>
                <c:pt idx="1">
                  <c:v>12.349866666666669</c:v>
                </c:pt>
                <c:pt idx="2">
                  <c:v>9.2999999999999972</c:v>
                </c:pt>
                <c:pt idx="3">
                  <c:v>12.587505263157894</c:v>
                </c:pt>
                <c:pt idx="4">
                  <c:v>9.5192565217391323</c:v>
                </c:pt>
                <c:pt idx="5">
                  <c:v>8.2542964285714273</c:v>
                </c:pt>
                <c:pt idx="6">
                  <c:v>7.2667629629629626</c:v>
                </c:pt>
                <c:pt idx="7">
                  <c:v>9.0461586206896527</c:v>
                </c:pt>
                <c:pt idx="8">
                  <c:v>7.7356428571428566</c:v>
                </c:pt>
                <c:pt idx="9">
                  <c:v>11.565234999999998</c:v>
                </c:pt>
                <c:pt idx="10">
                  <c:v>9.9697222222222219</c:v>
                </c:pt>
              </c:numCache>
            </c:numRef>
          </c:xVal>
          <c:yVal>
            <c:numRef>
              <c:f>('Summary Avgs and Stdevs'!$K$20,'Summary Avgs and Stdevs'!$K$22,'Summary Avgs and Stdevs'!$K$24,'Summary Avgs and Stdevs'!$K$26,'Summary Avgs and Stdevs'!$K$28,'Summary Avgs and Stdevs'!$K$30,'Summary Avgs and Stdevs'!$K$32,'Summary Avgs and Stdevs'!$K$34,'Summary Avgs and Stdevs'!$K$36,'Summary Avgs and Stdevs'!$K$38,'Summary Avgs and Stdevs'!$K$40)</c:f>
              <c:numCache>
                <c:formatCode>0.0E+00</c:formatCode>
                <c:ptCount val="11"/>
                <c:pt idx="0">
                  <c:v>-2.0444700000000002E-4</c:v>
                </c:pt>
                <c:pt idx="1">
                  <c:v>-2.4905383333333333E-4</c:v>
                </c:pt>
                <c:pt idx="2">
                  <c:v>-2.3123575E-4</c:v>
                </c:pt>
                <c:pt idx="3">
                  <c:v>-2.2524626315789477E-4</c:v>
                </c:pt>
                <c:pt idx="4">
                  <c:v>-2.1416734782608697E-4</c:v>
                </c:pt>
                <c:pt idx="5">
                  <c:v>-1.9925971428571429E-4</c:v>
                </c:pt>
                <c:pt idx="6">
                  <c:v>-1.7249437037037039E-4</c:v>
                </c:pt>
                <c:pt idx="7">
                  <c:v>-2.0597806896551724E-4</c:v>
                </c:pt>
                <c:pt idx="8">
                  <c:v>-1.6856871428571431E-4</c:v>
                </c:pt>
                <c:pt idx="9">
                  <c:v>-2.3541830000000001E-4</c:v>
                </c:pt>
                <c:pt idx="10">
                  <c:v>-2.1489033333333335E-4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24-4438-B0D2-9C6573A75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706112"/>
        <c:axId val="239704432"/>
      </c:scatterChart>
      <c:valAx>
        <c:axId val="23970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Capillary Length (lwet) [Unitless]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9704432"/>
        <c:crosses val="autoZero"/>
        <c:crossBetween val="midCat"/>
      </c:valAx>
      <c:valAx>
        <c:axId val="2397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Capillary Force (Fc) [N]</a:t>
                </a:r>
              </a:p>
            </c:rich>
          </c:tx>
          <c:layout>
            <c:manualLayout>
              <c:xMode val="edge"/>
              <c:yMode val="edge"/>
              <c:x val="2.4616373312577759E-2"/>
              <c:y val="0.248255074064098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9706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11865005790124"/>
          <c:y val="0.26979901840028192"/>
          <c:w val="0.21607834683070112"/>
          <c:h val="0.476632769812917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84969337684816"/>
          <c:y val="4.4310171198388724E-2"/>
          <c:w val="0.59458129789928571"/>
          <c:h val="0.91137965760322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Avgs and Stdevs'!$A$2</c:f>
              <c:strCache>
                <c:ptCount val="1"/>
                <c:pt idx="0">
                  <c:v>M213 143514 Se TG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Stdevs'!$B$3</c:f>
                <c:numCache>
                  <c:formatCode>General</c:formatCode>
                  <c:ptCount val="1"/>
                  <c:pt idx="0">
                    <c:v>1.1362519934649448E-2</c:v>
                  </c:pt>
                </c:numCache>
              </c:numRef>
            </c:plus>
            <c:minus>
              <c:numRef>
                <c:f>'Summary Avgs and Stdevs'!$B$3</c:f>
                <c:numCache>
                  <c:formatCode>General</c:formatCode>
                  <c:ptCount val="1"/>
                  <c:pt idx="0">
                    <c:v>1.1362519934649448E-2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Stdevs'!$B$2</c:f>
              <c:numCache>
                <c:formatCode>0.00</c:formatCode>
                <c:ptCount val="1"/>
                <c:pt idx="0">
                  <c:v>0.19799285714285711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4-40B6-BBB7-61979E4BD2EA}"/>
            </c:ext>
          </c:extLst>
        </c:ser>
        <c:ser>
          <c:idx val="1"/>
          <c:order val="1"/>
          <c:tx>
            <c:strRef>
              <c:f>'Summary Avgs and Stdevs'!$A$4</c:f>
              <c:strCache>
                <c:ptCount val="1"/>
                <c:pt idx="0">
                  <c:v>M8 145056 A TG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Stdevs'!$B$5</c:f>
                <c:numCache>
                  <c:formatCode>General</c:formatCode>
                  <c:ptCount val="1"/>
                  <c:pt idx="0">
                    <c:v>2.2486518659696794E-2</c:v>
                  </c:pt>
                </c:numCache>
              </c:numRef>
            </c:plus>
            <c:minus>
              <c:numRef>
                <c:f>'Summary Avgs and Stdevs'!$B$5</c:f>
                <c:numCache>
                  <c:formatCode>General</c:formatCode>
                  <c:ptCount val="1"/>
                  <c:pt idx="0">
                    <c:v>2.2486518659696794E-2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Stdevs'!$B$4</c:f>
              <c:numCache>
                <c:formatCode>0.00</c:formatCode>
                <c:ptCount val="1"/>
                <c:pt idx="0">
                  <c:v>0.14034695652173915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D4-40B6-BBB7-61979E4BD2EA}"/>
            </c:ext>
          </c:extLst>
        </c:ser>
        <c:ser>
          <c:idx val="3"/>
          <c:order val="2"/>
          <c:tx>
            <c:strRef>
              <c:f>'Summary Avgs and Stdevs'!$A$8</c:f>
              <c:strCache>
                <c:ptCount val="1"/>
                <c:pt idx="0">
                  <c:v>M11 133651 A TG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Stdevs'!$B$9</c:f>
                <c:numCache>
                  <c:formatCode>General</c:formatCode>
                  <c:ptCount val="1"/>
                  <c:pt idx="0">
                    <c:v>2.6666330636936963E-2</c:v>
                  </c:pt>
                </c:numCache>
              </c:numRef>
            </c:plus>
            <c:minus>
              <c:numRef>
                <c:f>'Summary Avgs and Stdevs'!$B$9</c:f>
                <c:numCache>
                  <c:formatCode>General</c:formatCode>
                  <c:ptCount val="1"/>
                  <c:pt idx="0">
                    <c:v>2.6666330636936963E-2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Stdevs'!$B$8</c:f>
              <c:numCache>
                <c:formatCode>0.00</c:formatCode>
                <c:ptCount val="1"/>
                <c:pt idx="0">
                  <c:v>0.16793331363636366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D4-40B6-BBB7-61979E4BD2EA}"/>
            </c:ext>
          </c:extLst>
        </c:ser>
        <c:ser>
          <c:idx val="4"/>
          <c:order val="3"/>
          <c:tx>
            <c:strRef>
              <c:f>'Summary Avgs and Stdevs'!$A$10</c:f>
              <c:strCache>
                <c:ptCount val="1"/>
                <c:pt idx="0">
                  <c:v>M4 110142 A TG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Stdevs'!$B$11</c:f>
                <c:numCache>
                  <c:formatCode>General</c:formatCode>
                  <c:ptCount val="1"/>
                  <c:pt idx="0">
                    <c:v>3.3209223244169507E-2</c:v>
                  </c:pt>
                </c:numCache>
              </c:numRef>
            </c:plus>
            <c:minus>
              <c:numRef>
                <c:f>'Summary Avgs and Stdevs'!$B$11</c:f>
                <c:numCache>
                  <c:formatCode>General</c:formatCode>
                  <c:ptCount val="1"/>
                  <c:pt idx="0">
                    <c:v>3.3209223244169507E-2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Stdevs'!$B$10</c:f>
              <c:numCache>
                <c:formatCode>0.00</c:formatCode>
                <c:ptCount val="1"/>
                <c:pt idx="0">
                  <c:v>0.13697001250000002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D4-40B6-BBB7-61979E4BD2EA}"/>
            </c:ext>
          </c:extLst>
        </c:ser>
        <c:ser>
          <c:idx val="5"/>
          <c:order val="4"/>
          <c:tx>
            <c:strRef>
              <c:f>'Summary Avgs and Stdevs'!$A$12</c:f>
              <c:strCache>
                <c:ptCount val="1"/>
                <c:pt idx="0">
                  <c:v>M8 134640 A BG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Stdevs'!$B$13</c:f>
                <c:numCache>
                  <c:formatCode>General</c:formatCode>
                  <c:ptCount val="1"/>
                  <c:pt idx="0">
                    <c:v>1.0592067464469584E-2</c:v>
                  </c:pt>
                </c:numCache>
              </c:numRef>
            </c:plus>
            <c:minus>
              <c:numRef>
                <c:f>'Summary Avgs and Stdevs'!$B$13</c:f>
                <c:numCache>
                  <c:formatCode>General</c:formatCode>
                  <c:ptCount val="1"/>
                  <c:pt idx="0">
                    <c:v>1.0592067464469584E-2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Stdevs'!$B$12</c:f>
              <c:numCache>
                <c:formatCode>0.00</c:formatCode>
                <c:ptCount val="1"/>
                <c:pt idx="0">
                  <c:v>0.10978537499999999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D4-40B6-BBB7-61979E4BD2EA}"/>
            </c:ext>
          </c:extLst>
        </c:ser>
        <c:ser>
          <c:idx val="6"/>
          <c:order val="5"/>
          <c:tx>
            <c:strRef>
              <c:f>'Summary Avgs and Stdevs'!$A$14</c:f>
              <c:strCache>
                <c:ptCount val="1"/>
                <c:pt idx="0">
                  <c:v>M1 142413 Sl BG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Stdevs'!$B$15</c:f>
                <c:numCache>
                  <c:formatCode>General</c:formatCode>
                  <c:ptCount val="1"/>
                  <c:pt idx="0">
                    <c:v>3.7672264665135264E-3</c:v>
                  </c:pt>
                </c:numCache>
              </c:numRef>
            </c:plus>
            <c:minus>
              <c:numRef>
                <c:f>'Summary Avgs and Stdevs'!$B$15</c:f>
                <c:numCache>
                  <c:formatCode>General</c:formatCode>
                  <c:ptCount val="1"/>
                  <c:pt idx="0">
                    <c:v>3.7672264665135264E-3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Stdevs'!$B$14</c:f>
              <c:numCache>
                <c:formatCode>0.00</c:formatCode>
                <c:ptCount val="1"/>
                <c:pt idx="0">
                  <c:v>0.18342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D4-40B6-BBB7-61979E4BD2EA}"/>
            </c:ext>
          </c:extLst>
        </c:ser>
        <c:ser>
          <c:idx val="7"/>
          <c:order val="6"/>
          <c:tx>
            <c:strRef>
              <c:f>'Summary Avgs and Stdevs'!$A$16</c:f>
              <c:strCache>
                <c:ptCount val="1"/>
                <c:pt idx="0">
                  <c:v>M4 114756 Sl TG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Stdevs'!$B$17</c:f>
                <c:numCache>
                  <c:formatCode>General</c:formatCode>
                  <c:ptCount val="1"/>
                  <c:pt idx="0">
                    <c:v>3.3560510928023778E-3</c:v>
                  </c:pt>
                </c:numCache>
              </c:numRef>
            </c:plus>
            <c:minus>
              <c:numRef>
                <c:f>'Summary Avgs and Stdevs'!$B$17</c:f>
                <c:numCache>
                  <c:formatCode>General</c:formatCode>
                  <c:ptCount val="1"/>
                  <c:pt idx="0">
                    <c:v>3.3560510928023778E-3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Stdevs'!$B$16</c:f>
              <c:numCache>
                <c:formatCode>0.00</c:formatCode>
                <c:ptCount val="1"/>
                <c:pt idx="0">
                  <c:v>0.12645525000000002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D4-40B6-BBB7-61979E4BD2EA}"/>
            </c:ext>
          </c:extLst>
        </c:ser>
        <c:ser>
          <c:idx val="8"/>
          <c:order val="7"/>
          <c:tx>
            <c:strRef>
              <c:f>'Summary Avgs and Stdevs'!$A$18</c:f>
              <c:strCache>
                <c:ptCount val="1"/>
                <c:pt idx="0">
                  <c:v>M9 144505 Sl TG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Stdevs'!$B$19</c:f>
                <c:numCache>
                  <c:formatCode>General</c:formatCode>
                  <c:ptCount val="1"/>
                  <c:pt idx="0">
                    <c:v>6.9322632667837975E-3</c:v>
                  </c:pt>
                </c:numCache>
              </c:numRef>
            </c:plus>
            <c:minus>
              <c:numRef>
                <c:f>'Summary Avgs and Stdevs'!$B$19</c:f>
                <c:numCache>
                  <c:formatCode>General</c:formatCode>
                  <c:ptCount val="1"/>
                  <c:pt idx="0">
                    <c:v>6.9322632667837975E-3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Stdevs'!$B$18</c:f>
              <c:numCache>
                <c:formatCode>0.00</c:formatCode>
                <c:ptCount val="1"/>
                <c:pt idx="0">
                  <c:v>0.15192550000000002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D4-40B6-BBB7-61979E4BD2EA}"/>
            </c:ext>
          </c:extLst>
        </c:ser>
        <c:ser>
          <c:idx val="9"/>
          <c:order val="8"/>
          <c:tx>
            <c:strRef>
              <c:f>'Summary Avgs and Stdevs'!$A$20</c:f>
              <c:strCache>
                <c:ptCount val="1"/>
                <c:pt idx="0">
                  <c:v>PL1 104827 Sl BG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Stdevs'!$B$21</c:f>
                <c:numCache>
                  <c:formatCode>General</c:formatCode>
                  <c:ptCount val="1"/>
                  <c:pt idx="0">
                    <c:v>1.2279414506289945E-2</c:v>
                  </c:pt>
                </c:numCache>
              </c:numRef>
            </c:plus>
            <c:minus>
              <c:numRef>
                <c:f>'Summary Avgs and Stdevs'!$B$21</c:f>
                <c:numCache>
                  <c:formatCode>General</c:formatCode>
                  <c:ptCount val="1"/>
                  <c:pt idx="0">
                    <c:v>1.2279414506289945E-2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Stdevs'!$B$20</c:f>
              <c:numCache>
                <c:formatCode>0.00</c:formatCode>
                <c:ptCount val="1"/>
                <c:pt idx="0">
                  <c:v>0.16100077777777774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D4-40B6-BBB7-61979E4BD2EA}"/>
            </c:ext>
          </c:extLst>
        </c:ser>
        <c:ser>
          <c:idx val="10"/>
          <c:order val="9"/>
          <c:tx>
            <c:strRef>
              <c:f>'Summary Avgs and Stdevs'!$A$22</c:f>
              <c:strCache>
                <c:ptCount val="1"/>
                <c:pt idx="0">
                  <c:v>PL1 134856 Sl BG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Stdevs'!$B$23</c:f>
                <c:numCache>
                  <c:formatCode>General</c:formatCode>
                  <c:ptCount val="1"/>
                  <c:pt idx="0">
                    <c:v>1.6695266714451294E-2</c:v>
                  </c:pt>
                </c:numCache>
              </c:numRef>
            </c:plus>
            <c:minus>
              <c:numRef>
                <c:f>'Summary Avgs and Stdevs'!$B$23</c:f>
                <c:numCache>
                  <c:formatCode>General</c:formatCode>
                  <c:ptCount val="1"/>
                  <c:pt idx="0">
                    <c:v>1.6695266714451294E-2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Stdevs'!$B$22</c:f>
              <c:numCache>
                <c:formatCode>0.00</c:formatCode>
                <c:ptCount val="1"/>
                <c:pt idx="0">
                  <c:v>0.13878100000000002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D4-40B6-BBB7-61979E4BD2EA}"/>
            </c:ext>
          </c:extLst>
        </c:ser>
        <c:ser>
          <c:idx val="11"/>
          <c:order val="10"/>
          <c:tx>
            <c:strRef>
              <c:f>'Summary Avgs and Stdevs'!$A$24</c:f>
              <c:strCache>
                <c:ptCount val="1"/>
                <c:pt idx="0">
                  <c:v>PL5 145450 Sl TG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Stdevs'!$B$25</c:f>
                <c:numCache>
                  <c:formatCode>General</c:formatCode>
                  <c:ptCount val="1"/>
                  <c:pt idx="0">
                    <c:v>1.1000746045609988E-2</c:v>
                  </c:pt>
                </c:numCache>
              </c:numRef>
            </c:plus>
            <c:minus>
              <c:numRef>
                <c:f>'Summary Avgs and Stdevs'!$B$25</c:f>
                <c:numCache>
                  <c:formatCode>General</c:formatCode>
                  <c:ptCount val="1"/>
                  <c:pt idx="0">
                    <c:v>1.1000746045609988E-2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Stdevs'!$B$24</c:f>
              <c:numCache>
                <c:formatCode>0.00</c:formatCode>
                <c:ptCount val="1"/>
                <c:pt idx="0">
                  <c:v>8.8350399999999982E-2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D4-40B6-BBB7-61979E4BD2EA}"/>
            </c:ext>
          </c:extLst>
        </c:ser>
        <c:ser>
          <c:idx val="12"/>
          <c:order val="11"/>
          <c:tx>
            <c:strRef>
              <c:f>'Summary Avgs and Stdevs'!$A$26</c:f>
              <c:strCache>
                <c:ptCount val="1"/>
                <c:pt idx="0">
                  <c:v>PL3 113156 A TG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Stdevs'!$B$27</c:f>
                <c:numCache>
                  <c:formatCode>General</c:formatCode>
                  <c:ptCount val="1"/>
                  <c:pt idx="0">
                    <c:v>1.4588627715277348E-2</c:v>
                  </c:pt>
                </c:numCache>
              </c:numRef>
            </c:plus>
            <c:minus>
              <c:numRef>
                <c:f>'Summary Avgs and Stdevs'!$B$27</c:f>
                <c:numCache>
                  <c:formatCode>General</c:formatCode>
                  <c:ptCount val="1"/>
                  <c:pt idx="0">
                    <c:v>1.4588627715277348E-2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Stdevs'!$B$26</c:f>
              <c:numCache>
                <c:formatCode>0.00</c:formatCode>
                <c:ptCount val="1"/>
                <c:pt idx="0">
                  <c:v>0.14629373684210528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1D4-40B6-BBB7-61979E4BD2EA}"/>
            </c:ext>
          </c:extLst>
        </c:ser>
        <c:ser>
          <c:idx val="13"/>
          <c:order val="12"/>
          <c:tx>
            <c:strRef>
              <c:f>'Summary Avgs and Stdevs'!$A$28</c:f>
              <c:strCache>
                <c:ptCount val="1"/>
                <c:pt idx="0">
                  <c:v>PL3 113813 A TG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Stdevs'!$B$29</c:f>
                <c:numCache>
                  <c:formatCode>General</c:formatCode>
                  <c:ptCount val="1"/>
                  <c:pt idx="0">
                    <c:v>9.7848719812770723E-3</c:v>
                  </c:pt>
                </c:numCache>
              </c:numRef>
            </c:plus>
            <c:minus>
              <c:numRef>
                <c:f>'Summary Avgs and Stdevs'!$B$29</c:f>
                <c:numCache>
                  <c:formatCode>General</c:formatCode>
                  <c:ptCount val="1"/>
                  <c:pt idx="0">
                    <c:v>9.7848719812770723E-3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Stdevs'!$B$28</c:f>
              <c:numCache>
                <c:formatCode>0.00</c:formatCode>
                <c:ptCount val="1"/>
                <c:pt idx="0">
                  <c:v>0.15508630434782608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1D4-40B6-BBB7-61979E4BD2EA}"/>
            </c:ext>
          </c:extLst>
        </c:ser>
        <c:ser>
          <c:idx val="14"/>
          <c:order val="13"/>
          <c:tx>
            <c:strRef>
              <c:f>'Summary Avgs and Stdevs'!$A$30</c:f>
              <c:strCache>
                <c:ptCount val="1"/>
                <c:pt idx="0">
                  <c:v>PL3 114723 A TG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Stdevs'!$B$31</c:f>
                <c:numCache>
                  <c:formatCode>General</c:formatCode>
                  <c:ptCount val="1"/>
                  <c:pt idx="0">
                    <c:v>1.3102838856016456E-2</c:v>
                  </c:pt>
                </c:numCache>
              </c:numRef>
            </c:plus>
            <c:minus>
              <c:numRef>
                <c:f>'Summary Avgs and Stdevs'!$B$31</c:f>
                <c:numCache>
                  <c:formatCode>General</c:formatCode>
                  <c:ptCount val="1"/>
                  <c:pt idx="0">
                    <c:v>1.3102838856016456E-2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Stdevs'!$B$30</c:f>
              <c:numCache>
                <c:formatCode>0.00</c:formatCode>
                <c:ptCount val="1"/>
                <c:pt idx="0">
                  <c:v>0.17414035714285711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1D4-40B6-BBB7-61979E4BD2EA}"/>
            </c:ext>
          </c:extLst>
        </c:ser>
        <c:ser>
          <c:idx val="15"/>
          <c:order val="14"/>
          <c:tx>
            <c:strRef>
              <c:f>'Summary Avgs and Stdevs'!$A$32</c:f>
              <c:strCache>
                <c:ptCount val="1"/>
                <c:pt idx="0">
                  <c:v>PL6 154513 A TG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Stdevs'!$B$33</c:f>
                <c:numCache>
                  <c:formatCode>General</c:formatCode>
                  <c:ptCount val="1"/>
                  <c:pt idx="0">
                    <c:v>2.934058545191625E-2</c:v>
                  </c:pt>
                </c:numCache>
              </c:numRef>
            </c:plus>
            <c:minus>
              <c:numRef>
                <c:f>'Summary Avgs and Stdevs'!$B$33</c:f>
                <c:numCache>
                  <c:formatCode>General</c:formatCode>
                  <c:ptCount val="1"/>
                  <c:pt idx="0">
                    <c:v>2.934058545191625E-2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Stdevs'!$B$32</c:f>
              <c:numCache>
                <c:formatCode>0.00</c:formatCode>
                <c:ptCount val="1"/>
                <c:pt idx="0">
                  <c:v>0.1875009259259259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1D4-40B6-BBB7-61979E4BD2EA}"/>
            </c:ext>
          </c:extLst>
        </c:ser>
        <c:ser>
          <c:idx val="16"/>
          <c:order val="15"/>
          <c:tx>
            <c:strRef>
              <c:f>'Summary Avgs and Stdevs'!$A$34</c:f>
              <c:strCache>
                <c:ptCount val="1"/>
                <c:pt idx="0">
                  <c:v>PL6 155022 A TG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Stdevs'!$B$35</c:f>
                <c:numCache>
                  <c:formatCode>General</c:formatCode>
                  <c:ptCount val="1"/>
                  <c:pt idx="0">
                    <c:v>1.5963456772976437E-2</c:v>
                  </c:pt>
                </c:numCache>
              </c:numRef>
            </c:plus>
            <c:minus>
              <c:numRef>
                <c:f>'Summary Avgs and Stdevs'!$B$35</c:f>
                <c:numCache>
                  <c:formatCode>General</c:formatCode>
                  <c:ptCount val="1"/>
                  <c:pt idx="0">
                    <c:v>1.5963456772976437E-2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Stdevs'!$B$34</c:f>
              <c:numCache>
                <c:formatCode>0.00</c:formatCode>
                <c:ptCount val="1"/>
                <c:pt idx="0">
                  <c:v>0.1792561724137931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1D4-40B6-BBB7-61979E4BD2EA}"/>
            </c:ext>
          </c:extLst>
        </c:ser>
        <c:ser>
          <c:idx val="17"/>
          <c:order val="16"/>
          <c:tx>
            <c:strRef>
              <c:f>'Summary Avgs and Stdevs'!$A$36</c:f>
              <c:strCache>
                <c:ptCount val="1"/>
                <c:pt idx="0">
                  <c:v>PL1 134856 A TG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Stdevs'!$B$37</c:f>
                <c:numCache>
                  <c:formatCode>General</c:formatCode>
                  <c:ptCount val="1"/>
                  <c:pt idx="0">
                    <c:v>1.882422549952956E-2</c:v>
                  </c:pt>
                </c:numCache>
              </c:numRef>
            </c:plus>
            <c:minus>
              <c:numRef>
                <c:f>'Summary Avgs and Stdevs'!$B$37</c:f>
                <c:numCache>
                  <c:formatCode>General</c:formatCode>
                  <c:ptCount val="1"/>
                  <c:pt idx="0">
                    <c:v>1.882422549952956E-2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Stdevs'!$B$36</c:f>
              <c:numCache>
                <c:formatCode>0.00</c:formatCode>
                <c:ptCount val="1"/>
                <c:pt idx="0">
                  <c:v>0.15857171428571432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1D4-40B6-BBB7-61979E4BD2EA}"/>
            </c:ext>
          </c:extLst>
        </c:ser>
        <c:ser>
          <c:idx val="18"/>
          <c:order val="17"/>
          <c:tx>
            <c:strRef>
              <c:f>'Summary Avgs and Stdevs'!$A$38</c:f>
              <c:strCache>
                <c:ptCount val="1"/>
                <c:pt idx="0">
                  <c:v>PL4 132734 Se TG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Stdevs'!$B$39</c:f>
                <c:numCache>
                  <c:formatCode>General</c:formatCode>
                  <c:ptCount val="1"/>
                  <c:pt idx="0">
                    <c:v>1.6423098713702008E-2</c:v>
                  </c:pt>
                </c:numCache>
              </c:numRef>
            </c:plus>
            <c:minus>
              <c:numRef>
                <c:f>'Summary Avgs and Stdevs'!$B$39</c:f>
                <c:numCache>
                  <c:formatCode>General</c:formatCode>
                  <c:ptCount val="1"/>
                  <c:pt idx="0">
                    <c:v>1.6423098713702008E-2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Stdevs'!$B$38</c:f>
              <c:numCache>
                <c:formatCode>0.00</c:formatCode>
                <c:ptCount val="1"/>
                <c:pt idx="0">
                  <c:v>0.13750279999999998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1D4-40B6-BBB7-61979E4BD2EA}"/>
            </c:ext>
          </c:extLst>
        </c:ser>
        <c:ser>
          <c:idx val="19"/>
          <c:order val="18"/>
          <c:tx>
            <c:strRef>
              <c:f>'Summary Avgs and Stdevs'!$A$40</c:f>
              <c:strCache>
                <c:ptCount val="1"/>
                <c:pt idx="0">
                  <c:v>PL5 145450 Se BG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Avgs and Stdevs'!$B$41</c:f>
                <c:numCache>
                  <c:formatCode>General</c:formatCode>
                  <c:ptCount val="1"/>
                  <c:pt idx="0">
                    <c:v>2.9800491842216552E-2</c:v>
                  </c:pt>
                </c:numCache>
              </c:numRef>
            </c:plus>
            <c:minus>
              <c:numRef>
                <c:f>'Summary Avgs and Stdevs'!$B$41</c:f>
                <c:numCache>
                  <c:formatCode>General</c:formatCode>
                  <c:ptCount val="1"/>
                  <c:pt idx="0">
                    <c:v>2.9800491842216552E-2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Avgs and Stdevs'!$B$40</c:f>
              <c:numCache>
                <c:formatCode>0.00</c:formatCode>
                <c:ptCount val="1"/>
                <c:pt idx="0">
                  <c:v>0.14593335555555559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1D4-40B6-BBB7-61979E4BD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602976"/>
        <c:axId val="249599056"/>
      </c:barChart>
      <c:catAx>
        <c:axId val="249602976"/>
        <c:scaling>
          <c:orientation val="minMax"/>
        </c:scaling>
        <c:delete val="1"/>
        <c:axPos val="b"/>
        <c:majorTickMark val="none"/>
        <c:minorTickMark val="none"/>
        <c:tickLblPos val="nextTo"/>
        <c:crossAx val="249599056"/>
        <c:crosses val="autoZero"/>
        <c:auto val="1"/>
        <c:lblAlgn val="ctr"/>
        <c:lblOffset val="100"/>
        <c:noMultiLvlLbl val="0"/>
      </c:catAx>
      <c:valAx>
        <c:axId val="24959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Fitting Parameter [B] (Unitless)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960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498118985126859"/>
          <c:y val="1.0124307378244385E-2"/>
          <c:w val="0.24835214348206475"/>
          <c:h val="0.97975138524351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'Summary DMA data'!$A$8</c:f>
              <c:strCache>
                <c:ptCount val="1"/>
                <c:pt idx="0">
                  <c:v>M-889A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val>
            <c:numRef>
              <c:f>'Summary DMA data'!$C$8</c:f>
              <c:numCache>
                <c:formatCode>General</c:formatCode>
                <c:ptCount val="1"/>
                <c:pt idx="0">
                  <c:v>7.03450241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4-4EAF-80B7-7E1EEC6F0967}"/>
            </c:ext>
          </c:extLst>
        </c:ser>
        <c:ser>
          <c:idx val="7"/>
          <c:order val="1"/>
          <c:tx>
            <c:strRef>
              <c:f>'Summary DMA data'!$A$9</c:f>
              <c:strCache>
                <c:ptCount val="1"/>
                <c:pt idx="0">
                  <c:v>M-889B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val>
            <c:numRef>
              <c:f>'Summary DMA data'!$C$9</c:f>
              <c:numCache>
                <c:formatCode>General</c:formatCode>
                <c:ptCount val="1"/>
                <c:pt idx="0">
                  <c:v>8.1741277500000002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C4-4EAF-80B7-7E1EEC6F0967}"/>
            </c:ext>
          </c:extLst>
        </c:ser>
        <c:ser>
          <c:idx val="8"/>
          <c:order val="2"/>
          <c:tx>
            <c:strRef>
              <c:f>'Summary DMA data'!$A$10</c:f>
              <c:strCache>
                <c:ptCount val="1"/>
                <c:pt idx="0">
                  <c:v>M-9A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val>
            <c:numRef>
              <c:f>'Summary DMA data'!$C$10</c:f>
              <c:numCache>
                <c:formatCode>General</c:formatCode>
                <c:ptCount val="1"/>
                <c:pt idx="0">
                  <c:v>1.9993609099999998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4-4EAF-80B7-7E1EEC6F0967}"/>
            </c:ext>
          </c:extLst>
        </c:ser>
        <c:ser>
          <c:idx val="9"/>
          <c:order val="3"/>
          <c:tx>
            <c:strRef>
              <c:f>'Summary DMA data'!$A$11</c:f>
              <c:strCache>
                <c:ptCount val="1"/>
                <c:pt idx="0">
                  <c:v>M-9B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val>
            <c:numRef>
              <c:f>'Summary DMA data'!$C$11</c:f>
              <c:numCache>
                <c:formatCode>General</c:formatCode>
                <c:ptCount val="1"/>
                <c:pt idx="0">
                  <c:v>1.9896897299999998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C4-4EAF-80B7-7E1EEC6F0967}"/>
            </c:ext>
          </c:extLst>
        </c:ser>
        <c:ser>
          <c:idx val="0"/>
          <c:order val="4"/>
          <c:tx>
            <c:strRef>
              <c:f>'Summary DMA data'!$A$2</c:f>
              <c:strCache>
                <c:ptCount val="1"/>
                <c:pt idx="0">
                  <c:v>PL-2A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val>
            <c:numRef>
              <c:f>'Summary DMA data'!$C$2</c:f>
              <c:numCache>
                <c:formatCode>General</c:formatCode>
                <c:ptCount val="1"/>
                <c:pt idx="0">
                  <c:v>5.1273486500000001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C4-4EAF-80B7-7E1EEC6F0967}"/>
            </c:ext>
          </c:extLst>
        </c:ser>
        <c:ser>
          <c:idx val="1"/>
          <c:order val="5"/>
          <c:tx>
            <c:strRef>
              <c:f>'Summary DMA data'!$A$3</c:f>
              <c:strCache>
                <c:ptCount val="1"/>
                <c:pt idx="0">
                  <c:v>PL-4A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val>
            <c:numRef>
              <c:f>'Summary DMA data'!$C$3</c:f>
              <c:numCache>
                <c:formatCode>General</c:formatCode>
                <c:ptCount val="1"/>
                <c:pt idx="0">
                  <c:v>3.0562133999999999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C4-4EAF-80B7-7E1EEC6F0967}"/>
            </c:ext>
          </c:extLst>
        </c:ser>
        <c:ser>
          <c:idx val="2"/>
          <c:order val="6"/>
          <c:tx>
            <c:strRef>
              <c:f>'Summary DMA data'!$A$4</c:f>
              <c:strCache>
                <c:ptCount val="1"/>
                <c:pt idx="0">
                  <c:v>PL-4B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val>
            <c:numRef>
              <c:f>'Summary DMA data'!$C$4</c:f>
              <c:numCache>
                <c:formatCode>General</c:formatCode>
                <c:ptCount val="1"/>
                <c:pt idx="0">
                  <c:v>4.0481825999999996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C4-4EAF-80B7-7E1EEC6F0967}"/>
            </c:ext>
          </c:extLst>
        </c:ser>
        <c:ser>
          <c:idx val="3"/>
          <c:order val="7"/>
          <c:tx>
            <c:strRef>
              <c:f>'Summary DMA data'!$A$5</c:f>
              <c:strCache>
                <c:ptCount val="1"/>
                <c:pt idx="0">
                  <c:v>PL-6A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val>
            <c:numRef>
              <c:f>'Summary DMA data'!$C$5</c:f>
              <c:numCache>
                <c:formatCode>General</c:formatCode>
                <c:ptCount val="1"/>
                <c:pt idx="0">
                  <c:v>2.3798439599999996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C4-4EAF-80B7-7E1EEC6F0967}"/>
            </c:ext>
          </c:extLst>
        </c:ser>
        <c:ser>
          <c:idx val="4"/>
          <c:order val="8"/>
          <c:tx>
            <c:strRef>
              <c:f>'Summary DMA data'!$A$6</c:f>
              <c:strCache>
                <c:ptCount val="1"/>
                <c:pt idx="0">
                  <c:v>PL-6B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val>
            <c:numRef>
              <c:f>'Summary DMA data'!$C$6</c:f>
              <c:numCache>
                <c:formatCode>General</c:formatCode>
                <c:ptCount val="1"/>
                <c:pt idx="0">
                  <c:v>3.91356481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C4-4EAF-80B7-7E1EEC6F0967}"/>
            </c:ext>
          </c:extLst>
        </c:ser>
        <c:ser>
          <c:idx val="5"/>
          <c:order val="9"/>
          <c:tx>
            <c:strRef>
              <c:f>'Summary DMA data'!$A$7</c:f>
              <c:strCache>
                <c:ptCount val="1"/>
                <c:pt idx="0">
                  <c:v>PL-7B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val>
            <c:numRef>
              <c:f>'Summary DMA data'!$C$7</c:f>
              <c:numCache>
                <c:formatCode>General</c:formatCode>
                <c:ptCount val="1"/>
                <c:pt idx="0">
                  <c:v>3.5837729399999998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C4-4EAF-80B7-7E1EEC6F0967}"/>
            </c:ext>
          </c:extLst>
        </c:ser>
        <c:ser>
          <c:idx val="10"/>
          <c:order val="10"/>
          <c:tx>
            <c:strRef>
              <c:f>'Summary DMA data'!$B$12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DMA data'!$C$13</c:f>
                <c:numCache>
                  <c:formatCode>General</c:formatCode>
                  <c:ptCount val="1"/>
                  <c:pt idx="0">
                    <c:v>1.8943533452221357</c:v>
                  </c:pt>
                </c:numCache>
              </c:numRef>
            </c:plus>
            <c:minus>
              <c:numRef>
                <c:f>'Summary DMA data'!$C$13</c:f>
                <c:numCache>
                  <c:formatCode>General</c:formatCode>
                  <c:ptCount val="1"/>
                  <c:pt idx="0">
                    <c:v>1.8943533452221357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DMA data'!$C$12</c:f>
              <c:numCache>
                <c:formatCode>General</c:formatCode>
                <c:ptCount val="1"/>
                <c:pt idx="0">
                  <c:v>4.1306607159999995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C4-4EAF-80B7-7E1EEC6F0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642240"/>
        <c:axId val="196641680"/>
      </c:barChart>
      <c:catAx>
        <c:axId val="196642240"/>
        <c:scaling>
          <c:orientation val="minMax"/>
        </c:scaling>
        <c:delete val="1"/>
        <c:axPos val="b"/>
        <c:majorTickMark val="none"/>
        <c:minorTickMark val="none"/>
        <c:tickLblPos val="nextTo"/>
        <c:crossAx val="196641680"/>
        <c:crosses val="autoZero"/>
        <c:auto val="1"/>
        <c:lblAlgn val="ctr"/>
        <c:lblOffset val="100"/>
        <c:noMultiLvlLbl val="0"/>
      </c:catAx>
      <c:valAx>
        <c:axId val="19664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Modulus of Elasticity (E) [MPa]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664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'Summary DMA data'!$A$8</c:f>
              <c:strCache>
                <c:ptCount val="1"/>
                <c:pt idx="0">
                  <c:v>M-889A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val>
            <c:numRef>
              <c:f>'Summary DMA data'!$C$8</c:f>
              <c:numCache>
                <c:formatCode>General</c:formatCode>
                <c:ptCount val="1"/>
                <c:pt idx="0">
                  <c:v>7.03450241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B-4E94-85D5-F03D475607AD}"/>
            </c:ext>
          </c:extLst>
        </c:ser>
        <c:ser>
          <c:idx val="7"/>
          <c:order val="1"/>
          <c:tx>
            <c:strRef>
              <c:f>'Summary DMA data'!$A$9</c:f>
              <c:strCache>
                <c:ptCount val="1"/>
                <c:pt idx="0">
                  <c:v>M-889B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val>
            <c:numRef>
              <c:f>'Summary DMA data'!$C$9</c:f>
              <c:numCache>
                <c:formatCode>General</c:formatCode>
                <c:ptCount val="1"/>
                <c:pt idx="0">
                  <c:v>8.1741277500000002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B-4E94-85D5-F03D475607AD}"/>
            </c:ext>
          </c:extLst>
        </c:ser>
        <c:ser>
          <c:idx val="8"/>
          <c:order val="2"/>
          <c:tx>
            <c:strRef>
              <c:f>'Summary DMA data'!$A$10</c:f>
              <c:strCache>
                <c:ptCount val="1"/>
                <c:pt idx="0">
                  <c:v>M-9A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val>
            <c:numRef>
              <c:f>'Summary DMA data'!$C$10</c:f>
              <c:numCache>
                <c:formatCode>General</c:formatCode>
                <c:ptCount val="1"/>
                <c:pt idx="0">
                  <c:v>1.9993609099999998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8B-4E94-85D5-F03D475607AD}"/>
            </c:ext>
          </c:extLst>
        </c:ser>
        <c:ser>
          <c:idx val="9"/>
          <c:order val="3"/>
          <c:tx>
            <c:strRef>
              <c:f>'Summary DMA data'!$A$11</c:f>
              <c:strCache>
                <c:ptCount val="1"/>
                <c:pt idx="0">
                  <c:v>M-9B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val>
            <c:numRef>
              <c:f>'Summary DMA data'!$C$11</c:f>
              <c:numCache>
                <c:formatCode>General</c:formatCode>
                <c:ptCount val="1"/>
                <c:pt idx="0">
                  <c:v>1.9896897299999998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8B-4E94-85D5-F03D475607AD}"/>
            </c:ext>
          </c:extLst>
        </c:ser>
        <c:ser>
          <c:idx val="0"/>
          <c:order val="4"/>
          <c:tx>
            <c:strRef>
              <c:f>'Summary DMA data'!$A$2</c:f>
              <c:strCache>
                <c:ptCount val="1"/>
                <c:pt idx="0">
                  <c:v>PL-2A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val>
            <c:numRef>
              <c:f>'Summary DMA data'!$C$2</c:f>
              <c:numCache>
                <c:formatCode>General</c:formatCode>
                <c:ptCount val="1"/>
                <c:pt idx="0">
                  <c:v>5.1273486500000001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8B-4E94-85D5-F03D475607AD}"/>
            </c:ext>
          </c:extLst>
        </c:ser>
        <c:ser>
          <c:idx val="1"/>
          <c:order val="5"/>
          <c:tx>
            <c:strRef>
              <c:f>'Summary DMA data'!$A$3</c:f>
              <c:strCache>
                <c:ptCount val="1"/>
                <c:pt idx="0">
                  <c:v>PL-4A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val>
            <c:numRef>
              <c:f>'Summary DMA data'!$C$3</c:f>
              <c:numCache>
                <c:formatCode>General</c:formatCode>
                <c:ptCount val="1"/>
                <c:pt idx="0">
                  <c:v>3.0562133999999999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8B-4E94-85D5-F03D475607AD}"/>
            </c:ext>
          </c:extLst>
        </c:ser>
        <c:ser>
          <c:idx val="2"/>
          <c:order val="6"/>
          <c:tx>
            <c:strRef>
              <c:f>'Summary DMA data'!$A$4</c:f>
              <c:strCache>
                <c:ptCount val="1"/>
                <c:pt idx="0">
                  <c:v>PL-4B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val>
            <c:numRef>
              <c:f>'Summary DMA data'!$C$4</c:f>
              <c:numCache>
                <c:formatCode>General</c:formatCode>
                <c:ptCount val="1"/>
                <c:pt idx="0">
                  <c:v>4.0481825999999996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8B-4E94-85D5-F03D475607AD}"/>
            </c:ext>
          </c:extLst>
        </c:ser>
        <c:ser>
          <c:idx val="3"/>
          <c:order val="7"/>
          <c:tx>
            <c:strRef>
              <c:f>'Summary DMA data'!$A$5</c:f>
              <c:strCache>
                <c:ptCount val="1"/>
                <c:pt idx="0">
                  <c:v>PL-6A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val>
            <c:numRef>
              <c:f>'Summary DMA data'!$C$5</c:f>
              <c:numCache>
                <c:formatCode>General</c:formatCode>
                <c:ptCount val="1"/>
                <c:pt idx="0">
                  <c:v>2.3798439599999996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8B-4E94-85D5-F03D475607AD}"/>
            </c:ext>
          </c:extLst>
        </c:ser>
        <c:ser>
          <c:idx val="4"/>
          <c:order val="8"/>
          <c:tx>
            <c:strRef>
              <c:f>'Summary DMA data'!$A$6</c:f>
              <c:strCache>
                <c:ptCount val="1"/>
                <c:pt idx="0">
                  <c:v>PL-6B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val>
            <c:numRef>
              <c:f>'Summary DMA data'!$C$6</c:f>
              <c:numCache>
                <c:formatCode>General</c:formatCode>
                <c:ptCount val="1"/>
                <c:pt idx="0">
                  <c:v>3.91356481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8B-4E94-85D5-F03D475607AD}"/>
            </c:ext>
          </c:extLst>
        </c:ser>
        <c:ser>
          <c:idx val="5"/>
          <c:order val="9"/>
          <c:tx>
            <c:strRef>
              <c:f>'Summary DMA data'!$A$7</c:f>
              <c:strCache>
                <c:ptCount val="1"/>
                <c:pt idx="0">
                  <c:v>PL-7B</c:v>
                </c:pt>
              </c:strCache>
            </c:strRef>
          </c:tx>
          <c:spPr>
            <a:solidFill>
              <a:srgbClr val="800080"/>
            </a:solidFill>
            <a:ln>
              <a:noFill/>
            </a:ln>
            <a:effectLst/>
          </c:spPr>
          <c:invertIfNegative val="0"/>
          <c:val>
            <c:numRef>
              <c:f>'Summary DMA data'!$C$7</c:f>
              <c:numCache>
                <c:formatCode>General</c:formatCode>
                <c:ptCount val="1"/>
                <c:pt idx="0">
                  <c:v>3.5837729399999998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8B-4E94-85D5-F03D475607AD}"/>
            </c:ext>
          </c:extLst>
        </c:ser>
        <c:ser>
          <c:idx val="10"/>
          <c:order val="10"/>
          <c:tx>
            <c:strRef>
              <c:f>'Summary DMA data'!$B$12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'Summary DMA data'!$C$13</c:f>
                <c:numCache>
                  <c:formatCode>General</c:formatCode>
                  <c:ptCount val="1"/>
                  <c:pt idx="0">
                    <c:v>1.8943533452221357</c:v>
                  </c:pt>
                </c:numCache>
              </c:numRef>
            </c:plus>
            <c:minus>
              <c:numRef>
                <c:f>'Summary DMA data'!$C$13</c:f>
                <c:numCache>
                  <c:formatCode>General</c:formatCode>
                  <c:ptCount val="1"/>
                  <c:pt idx="0">
                    <c:v>1.8943533452221357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DMA data'!$C$12</c:f>
              <c:numCache>
                <c:formatCode>General</c:formatCode>
                <c:ptCount val="1"/>
                <c:pt idx="0">
                  <c:v>4.1306607159999995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8B-4E94-85D5-F03D47560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011376"/>
        <c:axId val="196010816"/>
      </c:barChart>
      <c:catAx>
        <c:axId val="196011376"/>
        <c:scaling>
          <c:orientation val="minMax"/>
        </c:scaling>
        <c:delete val="1"/>
        <c:axPos val="b"/>
        <c:majorTickMark val="none"/>
        <c:minorTickMark val="none"/>
        <c:tickLblPos val="nextTo"/>
        <c:crossAx val="196010816"/>
        <c:crosses val="autoZero"/>
        <c:auto val="1"/>
        <c:lblAlgn val="ctr"/>
        <c:lblOffset val="100"/>
        <c:noMultiLvlLbl val="0"/>
      </c:catAx>
      <c:valAx>
        <c:axId val="19601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Modulus of Elasticity (E) [MPa]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6011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29254</xdr:rowOff>
    </xdr:from>
    <xdr:to>
      <xdr:col>3</xdr:col>
      <xdr:colOff>381000</xdr:colOff>
      <xdr:row>92</xdr:row>
      <xdr:rowOff>105454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506501</xdr:colOff>
      <xdr:row>49</xdr:row>
      <xdr:rowOff>19804</xdr:rowOff>
    </xdr:from>
    <xdr:to>
      <xdr:col>13</xdr:col>
      <xdr:colOff>2260541</xdr:colOff>
      <xdr:row>61</xdr:row>
      <xdr:rowOff>40774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460118</xdr:colOff>
      <xdr:row>48</xdr:row>
      <xdr:rowOff>222447</xdr:rowOff>
    </xdr:from>
    <xdr:to>
      <xdr:col>8</xdr:col>
      <xdr:colOff>53372</xdr:colOff>
      <xdr:row>60</xdr:row>
      <xdr:rowOff>143365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685853</xdr:colOff>
      <xdr:row>61</xdr:row>
      <xdr:rowOff>126097</xdr:rowOff>
    </xdr:from>
    <xdr:to>
      <xdr:col>7</xdr:col>
      <xdr:colOff>859681</xdr:colOff>
      <xdr:row>78</xdr:row>
      <xdr:rowOff>17386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59</xdr:row>
      <xdr:rowOff>171450</xdr:rowOff>
    </xdr:from>
    <xdr:to>
      <xdr:col>2</xdr:col>
      <xdr:colOff>1619250</xdr:colOff>
      <xdr:row>76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15</xdr:row>
      <xdr:rowOff>161925</xdr:rowOff>
    </xdr:from>
    <xdr:to>
      <xdr:col>3</xdr:col>
      <xdr:colOff>1357312</xdr:colOff>
      <xdr:row>30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1390650</xdr:colOff>
      <xdr:row>13</xdr:row>
      <xdr:rowOff>57150</xdr:rowOff>
    </xdr:from>
    <xdr:to>
      <xdr:col>6</xdr:col>
      <xdr:colOff>466725</xdr:colOff>
      <xdr:row>34</xdr:row>
      <xdr:rowOff>161926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9"/>
  <sheetViews>
    <sheetView zoomScale="85" zoomScaleNormal="85" workbookViewId="0">
      <selection activeCell="C44" sqref="C44"/>
    </sheetView>
  </sheetViews>
  <sheetFormatPr defaultRowHeight="15" x14ac:dyDescent="0.25"/>
  <cols>
    <col min="1" max="1" width="34.85546875" bestFit="1" customWidth="1"/>
    <col min="2" max="2" width="10.5703125" bestFit="1" customWidth="1"/>
    <col min="3" max="3" width="34.85546875" bestFit="1" customWidth="1"/>
    <col min="4" max="5" width="12" bestFit="1" customWidth="1"/>
    <col min="6" max="6" width="32.7109375" bestFit="1" customWidth="1"/>
    <col min="7" max="7" width="10.28515625" bestFit="1" customWidth="1"/>
    <col min="8" max="8" width="32.7109375" bestFit="1" customWidth="1"/>
    <col min="9" max="9" width="10.28515625" bestFit="1" customWidth="1"/>
    <col min="10" max="11" width="11.28515625" bestFit="1" customWidth="1"/>
    <col min="12" max="12" width="10.5703125" bestFit="1" customWidth="1"/>
    <col min="14" max="14" width="34.85546875" bestFit="1" customWidth="1"/>
    <col min="15" max="15" width="12" bestFit="1" customWidth="1"/>
  </cols>
  <sheetData>
    <row r="1" spans="1:15" ht="38.25" thickBot="1" x14ac:dyDescent="0.3">
      <c r="A1" s="106" t="s">
        <v>66</v>
      </c>
      <c r="B1" s="107" t="s">
        <v>67</v>
      </c>
      <c r="C1" s="107" t="s">
        <v>70</v>
      </c>
      <c r="D1" s="107" t="s">
        <v>71</v>
      </c>
      <c r="E1" s="108" t="s">
        <v>65</v>
      </c>
      <c r="F1" s="109" t="s">
        <v>37</v>
      </c>
      <c r="G1" s="109" t="s">
        <v>39</v>
      </c>
      <c r="H1" s="109" t="s">
        <v>41</v>
      </c>
      <c r="I1" s="109" t="s">
        <v>38</v>
      </c>
      <c r="J1" s="109" t="s">
        <v>42</v>
      </c>
      <c r="K1" s="109" t="s">
        <v>40</v>
      </c>
      <c r="L1" s="110" t="s">
        <v>69</v>
      </c>
      <c r="N1" s="189" t="s">
        <v>57</v>
      </c>
      <c r="O1" s="189"/>
    </row>
    <row r="2" spans="1:15" ht="15.75" x14ac:dyDescent="0.25">
      <c r="A2" s="134" t="s">
        <v>85</v>
      </c>
      <c r="B2" s="121">
        <v>0.19799285714285711</v>
      </c>
      <c r="C2" s="125">
        <v>18.376933333333334</v>
      </c>
      <c r="D2" s="125">
        <v>11.02093333333333</v>
      </c>
      <c r="E2" s="125">
        <v>1.4909333333333334</v>
      </c>
      <c r="F2" s="130">
        <v>-1.9301853333333332E-4</v>
      </c>
      <c r="G2" s="114">
        <v>6.7385880000000014E-5</v>
      </c>
      <c r="H2" s="114">
        <v>-5.1703093333333339E-6</v>
      </c>
      <c r="I2" s="130">
        <v>5.1703093333333339E-6</v>
      </c>
      <c r="J2" s="114">
        <v>-2.6040440000000002E-4</v>
      </c>
      <c r="K2" s="130">
        <v>-2.6040440000000002E-4</v>
      </c>
      <c r="L2" s="154">
        <v>0.99465119999999996</v>
      </c>
      <c r="N2" s="13" t="s">
        <v>58</v>
      </c>
      <c r="O2" s="13">
        <f>62.5*10^(-6)</f>
        <v>6.2500000000000001E-5</v>
      </c>
    </row>
    <row r="3" spans="1:15" x14ac:dyDescent="0.25">
      <c r="A3" s="111" t="s">
        <v>68</v>
      </c>
      <c r="B3" s="122">
        <v>1.1362519934649448E-2</v>
      </c>
      <c r="C3" s="11">
        <v>2.1771079583296284</v>
      </c>
      <c r="D3" s="11">
        <v>1.1302370823071983</v>
      </c>
      <c r="E3" s="11">
        <v>1.1902194008762478E-2</v>
      </c>
      <c r="F3" s="131">
        <v>5.3470119173069201E-5</v>
      </c>
      <c r="G3" s="115">
        <v>2.7971845963163263E-5</v>
      </c>
      <c r="H3" s="115">
        <v>2.5673164920527859E-6</v>
      </c>
      <c r="I3" s="131">
        <v>2.5673164920527859E-6</v>
      </c>
      <c r="J3" s="115">
        <v>2.9662861904633102E-5</v>
      </c>
      <c r="K3" s="131">
        <v>2.9662861904633102E-5</v>
      </c>
      <c r="L3" s="155">
        <v>7.1937656638694268E-3</v>
      </c>
      <c r="N3" s="13" t="s">
        <v>59</v>
      </c>
      <c r="O3" s="13">
        <f>11010.9</f>
        <v>11010.9</v>
      </c>
    </row>
    <row r="4" spans="1:15" ht="15.75" x14ac:dyDescent="0.25">
      <c r="A4" s="135" t="s">
        <v>86</v>
      </c>
      <c r="B4" s="123">
        <v>0.14034695652173915</v>
      </c>
      <c r="C4" s="126">
        <v>29.685774074074065</v>
      </c>
      <c r="D4" s="127">
        <v>22.635033333333336</v>
      </c>
      <c r="E4" s="126">
        <v>1.5753333333333333</v>
      </c>
      <c r="F4" s="132">
        <v>-2.2207104814814818E-4</v>
      </c>
      <c r="G4" s="116">
        <v>1.0697494814814818E-4</v>
      </c>
      <c r="H4" s="116">
        <v>4.6429218148148159E-7</v>
      </c>
      <c r="I4" s="132">
        <v>-3.0585921851851861E-7</v>
      </c>
      <c r="J4" s="116">
        <v>-3.2904603703703706E-4</v>
      </c>
      <c r="K4" s="132">
        <v>-3.290460407407408E-4</v>
      </c>
      <c r="L4" s="156">
        <v>0.9960620740740741</v>
      </c>
      <c r="N4" s="13" t="s">
        <v>63</v>
      </c>
      <c r="O4" s="13">
        <f>O13</f>
        <v>1.13E-17</v>
      </c>
    </row>
    <row r="5" spans="1:15" ht="15.75" thickBot="1" x14ac:dyDescent="0.3">
      <c r="A5" s="111" t="s">
        <v>68</v>
      </c>
      <c r="B5" s="122">
        <v>2.2486518659696794E-2</v>
      </c>
      <c r="C5" s="11">
        <v>5.3232013050901568</v>
      </c>
      <c r="D5" s="128">
        <v>5.4692722103009555</v>
      </c>
      <c r="E5" s="11">
        <v>1.3046923860520632E-2</v>
      </c>
      <c r="F5" s="131">
        <v>5.3465515610021568E-5</v>
      </c>
      <c r="G5" s="115">
        <v>1.9349700471571477E-5</v>
      </c>
      <c r="H5" s="115">
        <v>1.3368177348432069E-6</v>
      </c>
      <c r="I5" s="131">
        <v>1.381701496135615E-6</v>
      </c>
      <c r="J5" s="115">
        <v>6.3567553475420778E-5</v>
      </c>
      <c r="K5" s="131">
        <v>6.3567549330399578E-5</v>
      </c>
      <c r="L5" s="155">
        <v>1.2272437931586254E-3</v>
      </c>
      <c r="N5" s="97" t="s">
        <v>64</v>
      </c>
      <c r="O5" s="13">
        <f>O18</f>
        <v>1.00225E-16</v>
      </c>
    </row>
    <row r="6" spans="1:15" ht="15.75" x14ac:dyDescent="0.25">
      <c r="A6" s="135" t="s">
        <v>87</v>
      </c>
      <c r="B6" s="123">
        <v>6.6484523076923083E-2</v>
      </c>
      <c r="C6" s="126">
        <v>59.016273333333338</v>
      </c>
      <c r="D6" s="126">
        <v>47.755050000000004</v>
      </c>
      <c r="E6" s="126">
        <v>1.5508666666666666</v>
      </c>
      <c r="F6" s="132">
        <v>-6.585807777777777E-4</v>
      </c>
      <c r="G6" s="116">
        <v>3.1541266666666669E-4</v>
      </c>
      <c r="H6" s="116">
        <v>-5.7669255555555548E-6</v>
      </c>
      <c r="I6" s="132">
        <v>5.7669255555555548E-6</v>
      </c>
      <c r="J6" s="116">
        <v>-9.7399400000000005E-4</v>
      </c>
      <c r="K6" s="132">
        <v>-9.7399400000000005E-4</v>
      </c>
      <c r="L6" s="156">
        <v>0.94387394444444461</v>
      </c>
    </row>
    <row r="7" spans="1:15" ht="15.75" thickBot="1" x14ac:dyDescent="0.3">
      <c r="A7" s="111" t="s">
        <v>68</v>
      </c>
      <c r="B7" s="122">
        <v>6.831227782217804E-3</v>
      </c>
      <c r="C7" s="11">
        <v>7.3639528035302106</v>
      </c>
      <c r="D7" s="11">
        <v>7.5744036737957448</v>
      </c>
      <c r="E7" s="11">
        <v>8.0155404614342292E-3</v>
      </c>
      <c r="F7" s="131">
        <v>1.0927166488799859E-4</v>
      </c>
      <c r="G7" s="115">
        <v>5.7826159847137241E-5</v>
      </c>
      <c r="H7" s="115">
        <v>2.0335534274330465E-6</v>
      </c>
      <c r="I7" s="131">
        <v>2.0335534274330465E-6</v>
      </c>
      <c r="J7" s="115">
        <v>1.6194991084763079E-4</v>
      </c>
      <c r="K7" s="131">
        <v>1.6194991084763079E-4</v>
      </c>
      <c r="L7" s="155">
        <v>3.5590846128795262E-2</v>
      </c>
    </row>
    <row r="8" spans="1:15" ht="18.75" x14ac:dyDescent="0.3">
      <c r="A8" s="135" t="s">
        <v>88</v>
      </c>
      <c r="B8" s="123">
        <v>0.16793331363636366</v>
      </c>
      <c r="C8" s="126">
        <v>18.598736363636363</v>
      </c>
      <c r="D8" s="126">
        <v>11.475554545454544</v>
      </c>
      <c r="E8" s="126">
        <v>1.5044545454545455</v>
      </c>
      <c r="F8" s="132">
        <v>-1.3450986363636362E-4</v>
      </c>
      <c r="G8" s="116">
        <v>7.4399649999999995E-5</v>
      </c>
      <c r="H8" s="116">
        <v>-4.7726477272727267E-6</v>
      </c>
      <c r="I8" s="132">
        <v>4.7726477272727267E-6</v>
      </c>
      <c r="J8" s="116">
        <v>-2.0890936363636363E-4</v>
      </c>
      <c r="K8" s="132">
        <v>-2.0890936363636363E-4</v>
      </c>
      <c r="L8" s="156">
        <v>0.99556995454545427</v>
      </c>
      <c r="N8" s="192" t="s">
        <v>77</v>
      </c>
      <c r="O8" s="193"/>
    </row>
    <row r="9" spans="1:15" ht="15.75" x14ac:dyDescent="0.25">
      <c r="A9" s="111" t="s">
        <v>68</v>
      </c>
      <c r="B9" s="122">
        <v>2.6666330636936963E-2</v>
      </c>
      <c r="C9" s="11">
        <v>2.085530188649539</v>
      </c>
      <c r="D9" s="11">
        <v>4.4433777899586175</v>
      </c>
      <c r="E9" s="11">
        <v>2.1415218192863052E-2</v>
      </c>
      <c r="F9" s="131">
        <v>2.761176726684979E-5</v>
      </c>
      <c r="G9" s="115">
        <v>2.5899742031704942E-5</v>
      </c>
      <c r="H9" s="115">
        <v>2.1074188334848509E-6</v>
      </c>
      <c r="I9" s="131">
        <v>2.1074188334848509E-6</v>
      </c>
      <c r="J9" s="115">
        <v>3.7269825398456125E-5</v>
      </c>
      <c r="K9" s="131">
        <v>3.7269825398456125E-5</v>
      </c>
      <c r="L9" s="155">
        <v>1.9918641674497462E-3</v>
      </c>
      <c r="N9" s="190" t="s">
        <v>78</v>
      </c>
      <c r="O9" s="191"/>
    </row>
    <row r="10" spans="1:15" ht="15.75" x14ac:dyDescent="0.25">
      <c r="A10" s="135" t="s">
        <v>89</v>
      </c>
      <c r="B10" s="123">
        <v>0.13697001250000002</v>
      </c>
      <c r="C10" s="126">
        <v>21.036950000000001</v>
      </c>
      <c r="D10" s="126">
        <v>11.900700000000001</v>
      </c>
      <c r="E10" s="126">
        <v>1.51125</v>
      </c>
      <c r="F10" s="132">
        <v>-1.016061375E-4</v>
      </c>
      <c r="G10" s="116">
        <v>1.1418206250000001E-4</v>
      </c>
      <c r="H10" s="116">
        <v>-6.7669824999999994E-6</v>
      </c>
      <c r="I10" s="132">
        <v>6.7669824999999994E-6</v>
      </c>
      <c r="J10" s="116">
        <v>-2.1578837500000001E-4</v>
      </c>
      <c r="K10" s="132">
        <v>-2.1578837500000001E-4</v>
      </c>
      <c r="L10" s="156">
        <v>0.99707537499999987</v>
      </c>
      <c r="N10" s="89" t="s">
        <v>80</v>
      </c>
      <c r="O10" s="90">
        <f>35*10^-6</f>
        <v>3.4999999999999997E-5</v>
      </c>
    </row>
    <row r="11" spans="1:15" x14ac:dyDescent="0.25">
      <c r="A11" s="111" t="s">
        <v>68</v>
      </c>
      <c r="B11" s="122">
        <v>3.3209223244169507E-2</v>
      </c>
      <c r="C11" s="11">
        <v>2.4695464750637863</v>
      </c>
      <c r="D11" s="11">
        <v>6.4636046912694143</v>
      </c>
      <c r="E11" s="11">
        <v>6.4951905283833081E-3</v>
      </c>
      <c r="F11" s="131">
        <v>4.8123471363071303E-5</v>
      </c>
      <c r="G11" s="115">
        <v>5.6722506960177136E-5</v>
      </c>
      <c r="H11" s="115">
        <v>3.6549315001746271E-6</v>
      </c>
      <c r="I11" s="131">
        <v>3.6549315001746271E-6</v>
      </c>
      <c r="J11" s="115">
        <v>6.3183706744574384E-5</v>
      </c>
      <c r="K11" s="131">
        <v>6.3183706744574384E-5</v>
      </c>
      <c r="L11" s="155">
        <v>1.7559579961875555E-3</v>
      </c>
      <c r="N11" s="89" t="s">
        <v>81</v>
      </c>
      <c r="O11" s="90">
        <f>100*10^-6</f>
        <v>9.9999999999999991E-5</v>
      </c>
    </row>
    <row r="12" spans="1:15" ht="15.75" x14ac:dyDescent="0.25">
      <c r="A12" s="135" t="s">
        <v>90</v>
      </c>
      <c r="B12" s="123">
        <v>0.10978537499999999</v>
      </c>
      <c r="C12" s="126">
        <v>33.015349999999998</v>
      </c>
      <c r="D12" s="126">
        <v>12.895350000000001</v>
      </c>
      <c r="E12" s="126">
        <v>1.5920000000000001</v>
      </c>
      <c r="F12" s="132">
        <v>-1.0493879999999999E-4</v>
      </c>
      <c r="G12" s="116">
        <v>1.7049449999999999E-4</v>
      </c>
      <c r="H12" s="116">
        <v>3.6043999999999997E-6</v>
      </c>
      <c r="I12" s="132">
        <v>-3.6043999999999997E-6</v>
      </c>
      <c r="J12" s="116">
        <v>-2.7543325000000003E-4</v>
      </c>
      <c r="K12" s="132">
        <v>-2.7543325000000003E-4</v>
      </c>
      <c r="L12" s="156">
        <v>0.99807825000000006</v>
      </c>
      <c r="N12" s="89" t="s">
        <v>79</v>
      </c>
      <c r="O12" s="90">
        <f>20*10^-6</f>
        <v>1.9999999999999998E-5</v>
      </c>
    </row>
    <row r="13" spans="1:15" x14ac:dyDescent="0.25">
      <c r="A13" s="111" t="s">
        <v>68</v>
      </c>
      <c r="B13" s="122">
        <v>1.0592067464469584E-2</v>
      </c>
      <c r="C13" s="11">
        <v>5.4185194959047749</v>
      </c>
      <c r="D13" s="11">
        <v>2.3475910051582622</v>
      </c>
      <c r="E13" s="11">
        <v>5.8736700622353515E-3</v>
      </c>
      <c r="F13" s="131">
        <v>4.5776505983091373E-5</v>
      </c>
      <c r="G13" s="115">
        <v>1.2339323897604763E-5</v>
      </c>
      <c r="H13" s="115">
        <v>1.0442856368111169E-6</v>
      </c>
      <c r="I13" s="131">
        <v>1.0442856368111169E-6</v>
      </c>
      <c r="J13" s="115">
        <v>4.4937929838695285E-5</v>
      </c>
      <c r="K13" s="131">
        <v>4.4937929838695285E-5</v>
      </c>
      <c r="L13" s="155">
        <v>5.896428474085083E-4</v>
      </c>
      <c r="N13" s="89" t="s">
        <v>82</v>
      </c>
      <c r="O13" s="104">
        <f>1.13*10^-17</f>
        <v>1.13E-17</v>
      </c>
    </row>
    <row r="14" spans="1:15" ht="15.75" x14ac:dyDescent="0.25">
      <c r="A14" s="135" t="s">
        <v>91</v>
      </c>
      <c r="B14" s="123">
        <v>0.18342</v>
      </c>
      <c r="C14" s="126">
        <v>23.738250000000001</v>
      </c>
      <c r="D14" s="126">
        <v>10.641999999999999</v>
      </c>
      <c r="E14" s="126">
        <v>1.5699999999999998</v>
      </c>
      <c r="F14" s="132">
        <v>-1.9541812499999998E-4</v>
      </c>
      <c r="G14" s="116">
        <v>7.1940287500000009E-5</v>
      </c>
      <c r="H14" s="116">
        <v>-1.3277832499999999E-7</v>
      </c>
      <c r="I14" s="132">
        <v>1.3277832499999999E-7</v>
      </c>
      <c r="J14" s="116">
        <v>-2.6735824999999996E-4</v>
      </c>
      <c r="K14" s="132">
        <v>-2.6735824999999996E-4</v>
      </c>
      <c r="L14" s="156">
        <v>0.99527937500000008</v>
      </c>
      <c r="N14" s="190" t="s">
        <v>83</v>
      </c>
      <c r="O14" s="191"/>
    </row>
    <row r="15" spans="1:15" x14ac:dyDescent="0.25">
      <c r="A15" s="111" t="s">
        <v>68</v>
      </c>
      <c r="B15" s="122">
        <v>3.7672264665135264E-3</v>
      </c>
      <c r="C15" s="11">
        <v>0.43692891298242115</v>
      </c>
      <c r="D15" s="11">
        <v>0.23566859676248714</v>
      </c>
      <c r="E15" s="11">
        <v>4.6904157598234159E-3</v>
      </c>
      <c r="F15" s="131">
        <v>4.2058233568916098E-6</v>
      </c>
      <c r="G15" s="115">
        <v>2.0756937764501152E-6</v>
      </c>
      <c r="H15" s="115">
        <v>4.0949010846682163E-7</v>
      </c>
      <c r="I15" s="131">
        <v>4.0949010846682163E-7</v>
      </c>
      <c r="J15" s="115">
        <v>6.1208748915085634E-6</v>
      </c>
      <c r="K15" s="131">
        <v>6.1208748915085634E-6</v>
      </c>
      <c r="L15" s="155">
        <v>4.5556309593184117E-4</v>
      </c>
      <c r="N15" s="89" t="s">
        <v>80</v>
      </c>
      <c r="O15" s="90">
        <f>40*10^-6</f>
        <v>3.9999999999999996E-5</v>
      </c>
    </row>
    <row r="16" spans="1:15" ht="15.75" x14ac:dyDescent="0.25">
      <c r="A16" s="135" t="s">
        <v>92</v>
      </c>
      <c r="B16" s="123">
        <v>0.12645525000000002</v>
      </c>
      <c r="C16" s="126">
        <v>27.059224999999998</v>
      </c>
      <c r="D16" s="126">
        <v>13.844224999999998</v>
      </c>
      <c r="E16" s="126">
        <v>1.5358749999999999</v>
      </c>
      <c r="F16" s="132">
        <v>-2.0956437500000002E-4</v>
      </c>
      <c r="G16" s="116">
        <v>1.0672737499999999E-4</v>
      </c>
      <c r="H16" s="116">
        <v>-3.7156612500000001E-6</v>
      </c>
      <c r="I16" s="132">
        <v>3.7156612500000001E-6</v>
      </c>
      <c r="J16" s="116">
        <v>-3.1629175E-4</v>
      </c>
      <c r="K16" s="132">
        <v>-3.1629175E-4</v>
      </c>
      <c r="L16" s="156">
        <v>0.99047425</v>
      </c>
      <c r="N16" s="89" t="s">
        <v>81</v>
      </c>
      <c r="O16" s="90">
        <f>200*10^-6</f>
        <v>1.9999999999999998E-4</v>
      </c>
    </row>
    <row r="17" spans="1:15" x14ac:dyDescent="0.25">
      <c r="A17" s="111" t="s">
        <v>68</v>
      </c>
      <c r="B17" s="122">
        <v>3.3560510928023778E-3</v>
      </c>
      <c r="C17" s="11">
        <v>0.37195788320050394</v>
      </c>
      <c r="D17" s="11">
        <v>0.19038229139024426</v>
      </c>
      <c r="E17" s="11">
        <v>4.3999289766995164E-3</v>
      </c>
      <c r="F17" s="131">
        <v>8.5858758717078456E-6</v>
      </c>
      <c r="G17" s="115">
        <v>4.8116541318319005E-6</v>
      </c>
      <c r="H17" s="115">
        <v>3.8594411481578216E-7</v>
      </c>
      <c r="I17" s="131">
        <v>3.8594411481578216E-7</v>
      </c>
      <c r="J17" s="115">
        <v>5.6944375655107624E-6</v>
      </c>
      <c r="K17" s="131">
        <v>5.6944375655107624E-6</v>
      </c>
      <c r="L17" s="155">
        <v>1.4429975528392151E-3</v>
      </c>
      <c r="N17" s="89" t="s">
        <v>79</v>
      </c>
      <c r="O17" s="90">
        <f>27*10^-6</f>
        <v>2.6999999999999999E-5</v>
      </c>
    </row>
    <row r="18" spans="1:15" ht="16.5" thickBot="1" x14ac:dyDescent="0.3">
      <c r="A18" s="135" t="s">
        <v>93</v>
      </c>
      <c r="B18" s="123">
        <v>0.15192550000000002</v>
      </c>
      <c r="C18" s="126">
        <v>23.323462499999998</v>
      </c>
      <c r="D18" s="126">
        <v>13.5209625</v>
      </c>
      <c r="E18" s="126">
        <v>1.55975</v>
      </c>
      <c r="F18" s="132">
        <v>-1.55554875E-4</v>
      </c>
      <c r="G18" s="116">
        <v>1.1503400000000001E-4</v>
      </c>
      <c r="H18" s="116">
        <v>-1.288385E-6</v>
      </c>
      <c r="I18" s="132">
        <v>1.288385E-6</v>
      </c>
      <c r="J18" s="116">
        <v>-2.7058899999999995E-4</v>
      </c>
      <c r="K18" s="132">
        <v>-2.7058899999999995E-4</v>
      </c>
      <c r="L18" s="156">
        <v>0.99772549999999982</v>
      </c>
      <c r="N18" s="91" t="s">
        <v>84</v>
      </c>
      <c r="O18" s="105">
        <f>1.00225*10^-16</f>
        <v>1.00225E-16</v>
      </c>
    </row>
    <row r="19" spans="1:15" x14ac:dyDescent="0.25">
      <c r="A19" s="111" t="s">
        <v>68</v>
      </c>
      <c r="B19" s="122">
        <v>6.9322632667837975E-3</v>
      </c>
      <c r="C19" s="11">
        <v>0.34788957995856956</v>
      </c>
      <c r="D19" s="11">
        <v>0.2014037545423373</v>
      </c>
      <c r="E19" s="11">
        <v>5.9319052588523626E-3</v>
      </c>
      <c r="F19" s="131">
        <v>1.3406716324640239E-5</v>
      </c>
      <c r="G19" s="115">
        <v>6.3054031195475524E-6</v>
      </c>
      <c r="H19" s="115">
        <v>7.2905178469502414E-7</v>
      </c>
      <c r="I19" s="131">
        <v>7.2905178469502414E-7</v>
      </c>
      <c r="J19" s="115">
        <v>8.9968557007434442E-6</v>
      </c>
      <c r="K19" s="131">
        <v>8.9968557007434442E-6</v>
      </c>
      <c r="L19" s="155">
        <v>6.5991268361808013E-4</v>
      </c>
    </row>
    <row r="20" spans="1:15" ht="15.75" x14ac:dyDescent="0.25">
      <c r="A20" s="136" t="s">
        <v>94</v>
      </c>
      <c r="B20" s="123">
        <v>0.16100077777777774</v>
      </c>
      <c r="C20" s="126">
        <v>26.955088888888891</v>
      </c>
      <c r="D20" s="126">
        <v>8.0673111111111133</v>
      </c>
      <c r="E20" s="126">
        <v>1.5627777777777778</v>
      </c>
      <c r="F20" s="132">
        <v>-1.5288899999999999E-4</v>
      </c>
      <c r="G20" s="116">
        <v>5.1557855555555554E-5</v>
      </c>
      <c r="H20" s="116">
        <v>-4.4038023999999989E-7</v>
      </c>
      <c r="I20" s="132">
        <v>4.4038023999999989E-7</v>
      </c>
      <c r="J20" s="116">
        <v>-2.0444700000000002E-4</v>
      </c>
      <c r="K20" s="132">
        <v>-2.0444700000000002E-4</v>
      </c>
      <c r="L20" s="156">
        <v>0.99336099999999994</v>
      </c>
    </row>
    <row r="21" spans="1:15" x14ac:dyDescent="0.25">
      <c r="A21" s="111" t="s">
        <v>68</v>
      </c>
      <c r="B21" s="122">
        <v>1.2279414506289945E-2</v>
      </c>
      <c r="C21" s="11">
        <v>2.5640151526872619</v>
      </c>
      <c r="D21" s="11">
        <v>0.76868627677275914</v>
      </c>
      <c r="E21" s="11">
        <v>5.4114647386159717E-3</v>
      </c>
      <c r="F21" s="131">
        <v>2.7077778474444892E-5</v>
      </c>
      <c r="G21" s="115">
        <v>7.0164507548904311E-6</v>
      </c>
      <c r="H21" s="115">
        <v>3.4562198129281636E-7</v>
      </c>
      <c r="I21" s="131">
        <v>3.4562198129281636E-7</v>
      </c>
      <c r="J21" s="115">
        <v>2.4394084319313515E-5</v>
      </c>
      <c r="K21" s="131">
        <v>2.4394084319313515E-5</v>
      </c>
      <c r="L21" s="155">
        <v>1.8752500277740747E-3</v>
      </c>
    </row>
    <row r="22" spans="1:15" ht="15.75" x14ac:dyDescent="0.25">
      <c r="A22" s="136" t="s">
        <v>95</v>
      </c>
      <c r="B22" s="123">
        <v>0.13878100000000002</v>
      </c>
      <c r="C22" s="126">
        <v>24.133200000000002</v>
      </c>
      <c r="D22" s="126">
        <v>12.349866666666669</v>
      </c>
      <c r="E22" s="126">
        <v>1.5653333333333332</v>
      </c>
      <c r="F22" s="132">
        <v>-1.0466516666666666E-4</v>
      </c>
      <c r="G22" s="116">
        <v>1.4438883333333334E-4</v>
      </c>
      <c r="H22" s="116">
        <v>-1.265580166666667E-7</v>
      </c>
      <c r="I22" s="132">
        <v>1.265580166666667E-7</v>
      </c>
      <c r="J22" s="116">
        <v>-2.4905383333333333E-4</v>
      </c>
      <c r="K22" s="132">
        <v>-2.4905383333333333E-4</v>
      </c>
      <c r="L22" s="156">
        <v>0.99560783333333325</v>
      </c>
    </row>
    <row r="23" spans="1:15" x14ac:dyDescent="0.25">
      <c r="A23" s="111" t="s">
        <v>68</v>
      </c>
      <c r="B23" s="122">
        <v>1.6695266714451294E-2</v>
      </c>
      <c r="C23" s="11">
        <v>2.4163311431451882</v>
      </c>
      <c r="D23" s="11">
        <v>1.2348515763263033</v>
      </c>
      <c r="E23" s="11">
        <v>9.2855921847894273E-3</v>
      </c>
      <c r="F23" s="131">
        <v>4.5595859192170318E-5</v>
      </c>
      <c r="G23" s="115">
        <v>3.4115462991712258E-5</v>
      </c>
      <c r="H23" s="115">
        <v>7.5579710250152546E-7</v>
      </c>
      <c r="I23" s="131">
        <v>7.5579710250152546E-7</v>
      </c>
      <c r="J23" s="115">
        <v>2.8747960202517938E-5</v>
      </c>
      <c r="K23" s="131">
        <v>2.8747960202517938E-5</v>
      </c>
      <c r="L23" s="155">
        <v>1.1388439191663744E-3</v>
      </c>
    </row>
    <row r="24" spans="1:15" ht="15.75" x14ac:dyDescent="0.25">
      <c r="A24" s="136" t="s">
        <v>96</v>
      </c>
      <c r="B24" s="123">
        <v>8.8350399999999982E-2</v>
      </c>
      <c r="C24" s="126">
        <v>30.4</v>
      </c>
      <c r="D24" s="126">
        <v>9.2999999999999972</v>
      </c>
      <c r="E24" s="126">
        <v>1.528</v>
      </c>
      <c r="F24" s="132">
        <v>-9.4875099999999996E-5</v>
      </c>
      <c r="G24" s="116">
        <v>1.36360475E-4</v>
      </c>
      <c r="H24" s="116">
        <v>-5.8973174999999998E-6</v>
      </c>
      <c r="I24" s="132">
        <v>5.8973174999999998E-6</v>
      </c>
      <c r="J24" s="116">
        <v>-2.3123575E-4</v>
      </c>
      <c r="K24" s="132">
        <v>-2.3123575E-4</v>
      </c>
      <c r="L24" s="156">
        <v>0.99735200000000002</v>
      </c>
    </row>
    <row r="25" spans="1:15" x14ac:dyDescent="0.25">
      <c r="A25" s="111" t="s">
        <v>68</v>
      </c>
      <c r="B25" s="122">
        <v>1.1000746045609988E-2</v>
      </c>
      <c r="C25" s="11">
        <v>0</v>
      </c>
      <c r="D25" s="11">
        <v>0</v>
      </c>
      <c r="E25" s="11">
        <v>1.2247448713915449E-3</v>
      </c>
      <c r="F25" s="131">
        <v>5.0770921262963109E-5</v>
      </c>
      <c r="G25" s="115">
        <v>4.9907279182268343E-5</v>
      </c>
      <c r="H25" s="115">
        <v>2.3248667513254929E-6</v>
      </c>
      <c r="I25" s="131">
        <v>2.3248667513254929E-6</v>
      </c>
      <c r="J25" s="115">
        <v>9.9390778621560482E-7</v>
      </c>
      <c r="K25" s="131">
        <v>9.9390778621560482E-7</v>
      </c>
      <c r="L25" s="155">
        <v>1.8159432810524196E-4</v>
      </c>
    </row>
    <row r="26" spans="1:15" ht="15.75" x14ac:dyDescent="0.25">
      <c r="A26" s="136" t="s">
        <v>97</v>
      </c>
      <c r="B26" s="123">
        <v>0.14629373684210528</v>
      </c>
      <c r="C26" s="126">
        <v>22.335926315789472</v>
      </c>
      <c r="D26" s="126">
        <v>12.587505263157894</v>
      </c>
      <c r="E26" s="126">
        <v>1.5407894736842109</v>
      </c>
      <c r="F26" s="132">
        <v>-1.230348842105263E-4</v>
      </c>
      <c r="G26" s="116">
        <v>1.0221141578947369E-4</v>
      </c>
      <c r="H26" s="116">
        <v>-3.1002968421052629E-6</v>
      </c>
      <c r="I26" s="132">
        <v>3.1002968421052629E-6</v>
      </c>
      <c r="J26" s="116">
        <v>-2.2524626315789477E-4</v>
      </c>
      <c r="K26" s="132">
        <v>-2.2524626315789477E-4</v>
      </c>
      <c r="L26" s="156">
        <v>0.99642147368421075</v>
      </c>
    </row>
    <row r="27" spans="1:15" x14ac:dyDescent="0.25">
      <c r="A27" s="111" t="s">
        <v>68</v>
      </c>
      <c r="B27" s="122">
        <v>1.4588627715277348E-2</v>
      </c>
      <c r="C27" s="11">
        <v>2.1870428518031528</v>
      </c>
      <c r="D27" s="11">
        <v>4.6383817126318547</v>
      </c>
      <c r="E27" s="11">
        <v>8.4578144954108331E-3</v>
      </c>
      <c r="F27" s="131">
        <v>3.2908472889344142E-5</v>
      </c>
      <c r="G27" s="115">
        <v>3.0265348170600077E-5</v>
      </c>
      <c r="H27" s="115">
        <v>1.3603001519751852E-6</v>
      </c>
      <c r="I27" s="131">
        <v>1.3603001519751852E-6</v>
      </c>
      <c r="J27" s="115">
        <v>3.3455766369219533E-5</v>
      </c>
      <c r="K27" s="131">
        <v>3.3455766369219533E-5</v>
      </c>
      <c r="L27" s="155">
        <v>6.4638210700394621E-4</v>
      </c>
    </row>
    <row r="28" spans="1:15" ht="15.75" x14ac:dyDescent="0.25">
      <c r="A28" s="136" t="s">
        <v>98</v>
      </c>
      <c r="B28" s="123">
        <v>0.15508630434782608</v>
      </c>
      <c r="C28" s="126">
        <v>21.192734782608699</v>
      </c>
      <c r="D28" s="126">
        <v>9.5192565217391323</v>
      </c>
      <c r="E28" s="126">
        <v>1.5424782608695657</v>
      </c>
      <c r="F28" s="132">
        <v>-1.154973391304348E-4</v>
      </c>
      <c r="G28" s="116">
        <v>9.8669960869565216E-5</v>
      </c>
      <c r="H28" s="116">
        <v>-2.8380960869565212E-6</v>
      </c>
      <c r="I28" s="132">
        <v>2.8380960869565212E-6</v>
      </c>
      <c r="J28" s="116">
        <v>-2.1416734782608697E-4</v>
      </c>
      <c r="K28" s="132">
        <v>-2.1416734782608697E-4</v>
      </c>
      <c r="L28" s="156">
        <v>0.99455326086956541</v>
      </c>
    </row>
    <row r="29" spans="1:15" x14ac:dyDescent="0.25">
      <c r="A29" s="111" t="s">
        <v>68</v>
      </c>
      <c r="B29" s="122">
        <v>9.7848719812770723E-3</v>
      </c>
      <c r="C29" s="11">
        <v>2.1061517077792553</v>
      </c>
      <c r="D29" s="11">
        <v>1.3861726894821649</v>
      </c>
      <c r="E29" s="11">
        <v>6.0639316075169255E-3</v>
      </c>
      <c r="F29" s="131">
        <v>3.8383552269075057E-5</v>
      </c>
      <c r="G29" s="115">
        <v>1.9965556535361835E-5</v>
      </c>
      <c r="H29" s="115">
        <v>9.597633436006351E-7</v>
      </c>
      <c r="I29" s="131">
        <v>9.597633436006351E-7</v>
      </c>
      <c r="J29" s="115">
        <v>2.9322556787815575E-5</v>
      </c>
      <c r="K29" s="131">
        <v>2.9322556787815575E-5</v>
      </c>
      <c r="L29" s="155">
        <v>1.2264676467272947E-3</v>
      </c>
    </row>
    <row r="30" spans="1:15" ht="15.75" x14ac:dyDescent="0.25">
      <c r="A30" s="136" t="s">
        <v>99</v>
      </c>
      <c r="B30" s="123">
        <f>'PL3 114723 A TG'!B32</f>
        <v>0.17414035714285711</v>
      </c>
      <c r="C30" s="126">
        <f>'PL3 114723 A TG'!C32</f>
        <v>21.805010714285711</v>
      </c>
      <c r="D30" s="126">
        <f>'PL3 114723 A TG'!E32</f>
        <v>8.2542964285714273</v>
      </c>
      <c r="E30" s="126">
        <f>'PL3 114723 A TG'!F32</f>
        <v>1.5431785714285713</v>
      </c>
      <c r="F30" s="132">
        <f>'PL3 114723 A TG'!H32</f>
        <v>-1.3611733928571432E-4</v>
      </c>
      <c r="G30" s="116">
        <f>'PL3 114723 A TG'!I32</f>
        <v>6.3142442857142843E-5</v>
      </c>
      <c r="H30" s="116">
        <f>'PL3 114723 A TG'!J32</f>
        <v>-1.778451571428572E-6</v>
      </c>
      <c r="I30" s="132">
        <f>'PL3 114723 A TG'!K32</f>
        <v>1.8109899259259263E-6</v>
      </c>
      <c r="J30" s="116">
        <f>'PL3 114723 A TG'!L32</f>
        <v>1.9925978928571426E-4</v>
      </c>
      <c r="K30" s="132">
        <f>'PL3 114723 A TG'!M32</f>
        <v>-1.9925971428571429E-4</v>
      </c>
      <c r="L30" s="156">
        <f>'PL3 114723 A TG'!N32</f>
        <v>0.99850528571428565</v>
      </c>
    </row>
    <row r="31" spans="1:15" x14ac:dyDescent="0.25">
      <c r="A31" s="111" t="s">
        <v>68</v>
      </c>
      <c r="B31" s="122">
        <f>'PL3 114723 A TG'!B33</f>
        <v>1.3102838856016456E-2</v>
      </c>
      <c r="C31" s="11">
        <f>'PL3 114723 A TG'!C33</f>
        <v>2.1584298743265213</v>
      </c>
      <c r="D31" s="11">
        <f>'PL3 114723 A TG'!E33</f>
        <v>1.8593681028169129</v>
      </c>
      <c r="E31" s="11">
        <f>'PL3 114723 A TG'!F33</f>
        <v>1.1145317951718482E-2</v>
      </c>
      <c r="F31" s="131">
        <f>'PL3 114723 A TG'!H33</f>
        <v>3.5924096189280408E-5</v>
      </c>
      <c r="G31" s="115">
        <f>'PL3 114723 A TG'!I33</f>
        <v>2.0521283082508486E-5</v>
      </c>
      <c r="H31" s="115">
        <f>'PL3 114723 A TG'!J33</f>
        <v>1.1077726332955056E-6</v>
      </c>
      <c r="I31" s="131">
        <f>'PL3 114723 A TG'!K33</f>
        <v>1.1148837332849231E-6</v>
      </c>
      <c r="J31" s="115">
        <f>'PL3 114723 A TG'!L33</f>
        <v>3.8257044261270542E-5</v>
      </c>
      <c r="K31" s="131">
        <f>'PL3 114723 A TG'!M33</f>
        <v>3.825703901138151E-5</v>
      </c>
      <c r="L31" s="155">
        <f>'PL3 114723 A TG'!N33</f>
        <v>4.5854162119414471E-4</v>
      </c>
    </row>
    <row r="32" spans="1:15" ht="15.75" x14ac:dyDescent="0.25">
      <c r="A32" s="136" t="s">
        <v>100</v>
      </c>
      <c r="B32" s="123">
        <v>0.1875009259259259</v>
      </c>
      <c r="C32" s="126">
        <v>19.796392592592593</v>
      </c>
      <c r="D32" s="126">
        <v>7.2667629629629626</v>
      </c>
      <c r="E32" s="126">
        <v>1.5284074074074072</v>
      </c>
      <c r="F32" s="132">
        <v>-1.1160601481481484E-4</v>
      </c>
      <c r="G32" s="116">
        <v>6.0888266666666664E-5</v>
      </c>
      <c r="H32" s="116">
        <v>-2.6903078888888884E-6</v>
      </c>
      <c r="I32" s="132">
        <v>2.6903078888888884E-6</v>
      </c>
      <c r="J32" s="116">
        <v>1.7249428148148152E-4</v>
      </c>
      <c r="K32" s="132">
        <v>-1.7249437037037039E-4</v>
      </c>
      <c r="L32" s="156">
        <v>0.99848559259259262</v>
      </c>
    </row>
    <row r="33" spans="1:12" x14ac:dyDescent="0.25">
      <c r="A33" s="111" t="s">
        <v>68</v>
      </c>
      <c r="B33" s="122">
        <v>2.934058545191625E-2</v>
      </c>
      <c r="C33" s="11">
        <v>1.787916737419595</v>
      </c>
      <c r="D33" s="11">
        <v>2.2689967391629202</v>
      </c>
      <c r="E33" s="11">
        <v>5.5595047691735693E-3</v>
      </c>
      <c r="F33" s="131">
        <v>3.932685751793647E-5</v>
      </c>
      <c r="G33" s="115">
        <v>4.2996362322031474E-5</v>
      </c>
      <c r="H33" s="115">
        <v>2.183961355206454E-6</v>
      </c>
      <c r="I33" s="131">
        <v>2.183961355206454E-6</v>
      </c>
      <c r="J33" s="115">
        <v>3.9856579985521197E-5</v>
      </c>
      <c r="K33" s="131">
        <v>3.9856598433354045E-5</v>
      </c>
      <c r="L33" s="155">
        <v>5.605486240685359E-4</v>
      </c>
    </row>
    <row r="34" spans="1:12" ht="15.75" x14ac:dyDescent="0.25">
      <c r="A34" s="136" t="s">
        <v>101</v>
      </c>
      <c r="B34" s="123">
        <v>0.1792561724137931</v>
      </c>
      <c r="C34" s="126">
        <v>20.656158620689656</v>
      </c>
      <c r="D34" s="126">
        <v>9.0461586206896527</v>
      </c>
      <c r="E34" s="126">
        <v>1.5435517241379304</v>
      </c>
      <c r="F34" s="132">
        <v>-1.3438659655172413E-4</v>
      </c>
      <c r="G34" s="116">
        <v>7.1591448275862082E-5</v>
      </c>
      <c r="H34" s="116">
        <v>-1.9209941034482755E-6</v>
      </c>
      <c r="I34" s="132">
        <v>1.9209941034482755E-6</v>
      </c>
      <c r="J34" s="116">
        <v>2.0597804482758622E-4</v>
      </c>
      <c r="K34" s="132">
        <v>-2.0597806896551724E-4</v>
      </c>
      <c r="L34" s="156">
        <v>0.99761131034482742</v>
      </c>
    </row>
    <row r="35" spans="1:12" x14ac:dyDescent="0.25">
      <c r="A35" s="111" t="s">
        <v>68</v>
      </c>
      <c r="B35" s="122">
        <v>1.5963456772976437E-2</v>
      </c>
      <c r="C35" s="11">
        <v>1.4399214575125248</v>
      </c>
      <c r="D35" s="11">
        <v>2.247967743589494</v>
      </c>
      <c r="E35" s="11">
        <v>7.5273579506360388E-3</v>
      </c>
      <c r="F35" s="131">
        <v>2.2899289786283656E-5</v>
      </c>
      <c r="G35" s="115">
        <v>2.3218498068916734E-5</v>
      </c>
      <c r="H35" s="115">
        <v>8.0127735861833044E-7</v>
      </c>
      <c r="I35" s="131">
        <v>8.0127735861833044E-7</v>
      </c>
      <c r="J35" s="115">
        <v>3.3790587131244068E-5</v>
      </c>
      <c r="K35" s="131">
        <v>3.3790522062208859E-5</v>
      </c>
      <c r="L35" s="155">
        <v>7.4372446248586424E-4</v>
      </c>
    </row>
    <row r="36" spans="1:12" ht="15.75" x14ac:dyDescent="0.25">
      <c r="A36" s="136" t="s">
        <v>102</v>
      </c>
      <c r="B36" s="123">
        <f>'PL1 134856 A TG'!B19</f>
        <v>0.15857171428571432</v>
      </c>
      <c r="C36" s="126">
        <f>'PL1 134856 A TG'!C19</f>
        <v>13.532785714285712</v>
      </c>
      <c r="D36" s="126">
        <f>'PL1 134856 A TG'!E19</f>
        <v>7.7356428571428566</v>
      </c>
      <c r="E36" s="126">
        <f>'PL1 134856 A TG'!F19</f>
        <v>1.4417857142857144</v>
      </c>
      <c r="F36" s="132">
        <f>'PL1 134856 A TG'!H19</f>
        <v>-9.1814749999999997E-5</v>
      </c>
      <c r="G36" s="116">
        <f>'PL1 134856 A TG'!I19</f>
        <v>7.6754007142857151E-5</v>
      </c>
      <c r="H36" s="116">
        <f>'PL1 134856 A TG'!J19</f>
        <v>-9.9372721428571436E-6</v>
      </c>
      <c r="I36" s="132">
        <f>'PL1 134856 A TG'!K19</f>
        <v>9.9372721428571436E-6</v>
      </c>
      <c r="J36" s="116">
        <f>'PL1 134856 A TG'!L19</f>
        <v>1.6856875714285716E-4</v>
      </c>
      <c r="K36" s="132">
        <f>'PL1 134856 A TG'!M19</f>
        <v>-1.6856871428571431E-4</v>
      </c>
      <c r="L36" s="156">
        <f>'PL1 134856 A TG'!N19</f>
        <v>0.99899878571428569</v>
      </c>
    </row>
    <row r="37" spans="1:12" x14ac:dyDescent="0.25">
      <c r="A37" s="111" t="s">
        <v>68</v>
      </c>
      <c r="B37" s="122">
        <f>'PL1 134856 A TG'!B20</f>
        <v>1.882422549952956E-2</v>
      </c>
      <c r="C37" s="11">
        <f>'PL1 134856 A TG'!C20</f>
        <v>1.086236523572494</v>
      </c>
      <c r="D37" s="11">
        <f>'PL1 134856 A TG'!E20</f>
        <v>0.6931769199026423</v>
      </c>
      <c r="E37" s="11">
        <f>'PL1 134856 A TG'!F20</f>
        <v>1.245888476244203E-2</v>
      </c>
      <c r="F37" s="131">
        <f>'PL1 134856 A TG'!H20</f>
        <v>3.4965505603127401E-5</v>
      </c>
      <c r="G37" s="115">
        <f>'PL1 134856 A TG'!I20</f>
        <v>2.5814922436256753E-5</v>
      </c>
      <c r="H37" s="115">
        <f>'PL1 134856 A TG'!J20</f>
        <v>3.4581829287612468E-6</v>
      </c>
      <c r="I37" s="131">
        <f>'PL1 134856 A TG'!K20</f>
        <v>3.4581829287612468E-6</v>
      </c>
      <c r="J37" s="115">
        <f>'PL1 134856 A TG'!L20</f>
        <v>1.498271356013164E-5</v>
      </c>
      <c r="K37" s="131">
        <f>'PL1 134856 A TG'!M20</f>
        <v>8.5421071418016677E-5</v>
      </c>
      <c r="L37" s="155">
        <f>'PL1 134856 A TG'!N20</f>
        <v>3.4886810852077137E-4</v>
      </c>
    </row>
    <row r="38" spans="1:12" ht="15.75" x14ac:dyDescent="0.25">
      <c r="A38" s="136" t="s">
        <v>103</v>
      </c>
      <c r="B38" s="123">
        <f>'PL4 132734 Se TG'!B23</f>
        <v>0.13750279999999998</v>
      </c>
      <c r="C38" s="126">
        <f>'PL4 132734 Se TG'!C23</f>
        <v>20.039234999999998</v>
      </c>
      <c r="D38" s="126">
        <f>'PL4 132734 Se TG'!E23</f>
        <v>11.565234999999998</v>
      </c>
      <c r="E38" s="126">
        <f>'PL4 132734 Se TG'!F23</f>
        <v>1.50695</v>
      </c>
      <c r="F38" s="132">
        <f>'PL4 132734 Se TG'!H23</f>
        <v>-1.17476905E-4</v>
      </c>
      <c r="G38" s="116">
        <f>'PL4 132734 Se TG'!I23</f>
        <v>1.1794139000000001E-4</v>
      </c>
      <c r="H38" s="116">
        <f>'PL4 132734 Se TG'!J23</f>
        <v>-7.4277274999999994E-6</v>
      </c>
      <c r="I38" s="132">
        <f>'PL4 132734 Se TG'!K23</f>
        <v>7.4277274999999994E-6</v>
      </c>
      <c r="J38" s="116">
        <f>'PL4 132734 Se TG'!L23</f>
        <v>2.35418295E-4</v>
      </c>
      <c r="K38" s="132">
        <f>'PL4 132734 Se TG'!M23</f>
        <v>-2.3541830000000001E-4</v>
      </c>
      <c r="L38" s="156">
        <f>'PL4 132734 Se TG'!N23</f>
        <v>0.99854630000000011</v>
      </c>
    </row>
    <row r="39" spans="1:12" x14ac:dyDescent="0.25">
      <c r="A39" s="111" t="s">
        <v>68</v>
      </c>
      <c r="B39" s="122">
        <f>'PL4 132734 Se TG'!B24</f>
        <v>1.6423098713702008E-2</v>
      </c>
      <c r="C39" s="11">
        <f>'PL4 132734 Se TG'!C24</f>
        <v>2.2305476312500292</v>
      </c>
      <c r="D39" s="11">
        <f>'PL4 132734 Se TG'!E24</f>
        <v>3.0100675931405654</v>
      </c>
      <c r="E39" s="11">
        <f>'PL4 132734 Se TG'!F24</f>
        <v>8.2733004296955074E-3</v>
      </c>
      <c r="F39" s="131">
        <f>'PL4 132734 Se TG'!H24</f>
        <v>5.0051240684896857E-5</v>
      </c>
      <c r="G39" s="115">
        <f>'PL4 132734 Se TG'!I24</f>
        <v>3.8804789380086839E-5</v>
      </c>
      <c r="H39" s="115">
        <f>'PL4 132734 Se TG'!J24</f>
        <v>2.3677831633151611E-6</v>
      </c>
      <c r="I39" s="131">
        <f>'PL4 132734 Se TG'!K24</f>
        <v>2.3677831633151611E-6</v>
      </c>
      <c r="J39" s="115">
        <f>'PL4 132734 Se TG'!L24</f>
        <v>4.1720911345792472E-5</v>
      </c>
      <c r="K39" s="131">
        <f>'PL4 132734 Se TG'!M24</f>
        <v>4.1720939806169275E-5</v>
      </c>
      <c r="L39" s="155">
        <f>'PL4 132734 Se TG'!N24</f>
        <v>5.1111066316404771E-4</v>
      </c>
    </row>
    <row r="40" spans="1:12" ht="15.75" x14ac:dyDescent="0.25">
      <c r="A40" s="136" t="s">
        <v>104</v>
      </c>
      <c r="B40" s="123">
        <f>'PL5 145450 Se BG'!B26</f>
        <v>0.14593335555555559</v>
      </c>
      <c r="C40" s="126">
        <f>'PL5 145450 Se BG'!C26</f>
        <v>20.741944444444446</v>
      </c>
      <c r="D40" s="126">
        <f>'PL5 145450 Se BG'!E26</f>
        <v>9.9697222222222219</v>
      </c>
      <c r="E40" s="126">
        <f>'PL5 145450 Se BG'!F26</f>
        <v>1.5251111111111109</v>
      </c>
      <c r="F40" s="132">
        <f>'PL5 145450 Se BG'!H26</f>
        <v>-9.2762321111111094E-5</v>
      </c>
      <c r="G40" s="116">
        <f>'PL5 145450 Se BG'!I26</f>
        <v>1.2212793333333334E-4</v>
      </c>
      <c r="H40" s="116">
        <f>'PL5 145450 Se BG'!J26</f>
        <v>-5.589671666666667E-6</v>
      </c>
      <c r="I40" s="132">
        <f>'PL5 145450 Se BG'!K26</f>
        <v>5.589671666666667E-6</v>
      </c>
      <c r="J40" s="116">
        <f>'PL5 145450 Se BG'!L26</f>
        <v>2.1489025444444446E-4</v>
      </c>
      <c r="K40" s="132">
        <f>'PL5 145450 Se BG'!M26</f>
        <v>-2.1489033333333335E-4</v>
      </c>
      <c r="L40" s="156">
        <f>'PL5 145450 Se BG'!N26</f>
        <v>0.99592655555555565</v>
      </c>
    </row>
    <row r="41" spans="1:12" ht="15.75" thickBot="1" x14ac:dyDescent="0.3">
      <c r="A41" s="112" t="s">
        <v>68</v>
      </c>
      <c r="B41" s="124">
        <f>'PL5 145450 Se BG'!B27</f>
        <v>2.9800491842216552E-2</v>
      </c>
      <c r="C41" s="73">
        <f>'PL5 145450 Se BG'!C27</f>
        <v>3.8880714728544783</v>
      </c>
      <c r="D41" s="73">
        <f>'PL5 145450 Se BG'!E27</f>
        <v>3.3830870737235075</v>
      </c>
      <c r="E41" s="73">
        <f>'PL5 145450 Se BG'!F27</f>
        <v>9.9044820880295672E-3</v>
      </c>
      <c r="F41" s="133">
        <f>'PL5 145450 Se BG'!H27</f>
        <v>6.2031734355602372E-5</v>
      </c>
      <c r="G41" s="117">
        <f>'PL5 145450 Se BG'!I27</f>
        <v>5.1284019487111624E-5</v>
      </c>
      <c r="H41" s="117">
        <f>'PL5 145450 Se BG'!J27</f>
        <v>2.6958920646034156E-6</v>
      </c>
      <c r="I41" s="133">
        <f>'PL5 145450 Se BG'!K27</f>
        <v>2.6958920646034156E-6</v>
      </c>
      <c r="J41" s="117">
        <f>'PL5 145450 Se BG'!L27</f>
        <v>6.8806518783237009E-5</v>
      </c>
      <c r="K41" s="133">
        <f>'PL5 145450 Se BG'!M27</f>
        <v>6.8806414390907864E-5</v>
      </c>
      <c r="L41" s="157">
        <f>'PL5 145450 Se BG'!N27</f>
        <v>2.37313220641746E-3</v>
      </c>
    </row>
    <row r="42" spans="1:12" ht="21" x14ac:dyDescent="0.25">
      <c r="A42" s="103" t="s">
        <v>72</v>
      </c>
      <c r="B42" s="158">
        <f>AVERAGE(B2,B4,B8,B10,B12,B14,B16,B18,B20,B22,B24,B26,B28,B30,B32,B34,B36,B38,B40)</f>
        <v>0.15196035837329025</v>
      </c>
      <c r="C42" s="150">
        <f t="shared" ref="C42:L42" si="0">AVERAGE(C2,C4,C8,C10,C12,C14,C16,C18,C20,C22,C24,C26,C28,C30,C32,C34,C36,C38,C40)</f>
        <v>22.969639912875209</v>
      </c>
      <c r="D42" s="150">
        <f t="shared" si="0"/>
        <v>11.241921914020267</v>
      </c>
      <c r="E42" s="150">
        <f t="shared" si="0"/>
        <v>1.535155767692465</v>
      </c>
      <c r="F42" s="118">
        <f t="shared" si="0"/>
        <v>-1.3641090391520194E-4</v>
      </c>
      <c r="G42" s="118">
        <f t="shared" si="0"/>
        <v>9.8566985893259885E-5</v>
      </c>
      <c r="H42" s="118">
        <f t="shared" si="0"/>
        <v>-3.1329023954285568E-6</v>
      </c>
      <c r="I42" s="118">
        <f t="shared" si="0"/>
        <v>3.1429535174001524E-6</v>
      </c>
      <c r="J42" s="118">
        <f t="shared" si="0"/>
        <v>-1.0901901041098064E-4</v>
      </c>
      <c r="K42" s="118">
        <f t="shared" si="0"/>
        <v>-2.3497790131237202E-4</v>
      </c>
      <c r="L42" s="150">
        <f t="shared" si="0"/>
        <v>0.99633080928569406</v>
      </c>
    </row>
    <row r="43" spans="1:12" ht="15.75" thickBot="1" x14ac:dyDescent="0.3">
      <c r="A43" s="100" t="s">
        <v>73</v>
      </c>
      <c r="B43" s="160">
        <f>AVERAGE(B3,B5,B9,B11,B13,B15,B17,B19,B21,B23,B25,B27,B29,B31,B33,B35,B37,B39,B41)</f>
        <v>1.6114517098172892E-2</v>
      </c>
      <c r="C43" s="151">
        <f t="shared" ref="C43:L43" si="1">AVERAGE(C3,C5,C9,C11,C13,C15,C17,C19,C21,C23,C25,C27,C29,C31,C33,C35,C37,C39,C41)</f>
        <v>2.1313340185015726</v>
      </c>
      <c r="D43" s="151">
        <f t="shared" si="1"/>
        <v>2.2090680973283492</v>
      </c>
      <c r="E43" s="151">
        <f t="shared" si="1"/>
        <v>8.3719917103978955E-3</v>
      </c>
      <c r="F43" s="117">
        <f t="shared" si="1"/>
        <v>3.6556900167077244E-5</v>
      </c>
      <c r="G43" s="117">
        <f t="shared" si="1"/>
        <v>2.6283465408620841E-5</v>
      </c>
      <c r="H43" s="117">
        <f t="shared" si="1"/>
        <v>1.6103407915705253E-6</v>
      </c>
      <c r="I43" s="117">
        <f t="shared" si="1"/>
        <v>1.6130773632169372E-6</v>
      </c>
      <c r="J43" s="117">
        <f t="shared" si="1"/>
        <v>3.2303298739569553E-5</v>
      </c>
      <c r="K43" s="117">
        <f t="shared" si="1"/>
        <v>3.6010573787454828E-5</v>
      </c>
      <c r="L43" s="151">
        <f t="shared" si="1"/>
        <v>1.3358637639521449E-3</v>
      </c>
    </row>
    <row r="44" spans="1:12" ht="18.75" x14ac:dyDescent="0.25">
      <c r="A44" s="137" t="s">
        <v>74</v>
      </c>
      <c r="B44" s="158">
        <f>AVERAGE(B2,B4,B8,B10,B12,B14,B16,B18)</f>
        <v>0.15185365810011997</v>
      </c>
      <c r="C44" s="150">
        <f t="shared" ref="C44:L44" si="2">AVERAGE(C2,C4,C8,C10,C12,C14,C16,C18)</f>
        <v>24.35433515888047</v>
      </c>
      <c r="D44" s="150">
        <f t="shared" si="2"/>
        <v>13.491844839015149</v>
      </c>
      <c r="E44" s="150">
        <f t="shared" si="2"/>
        <v>1.5424495265151517</v>
      </c>
      <c r="F44" s="118">
        <f t="shared" si="2"/>
        <v>-1.6458521970223064E-4</v>
      </c>
      <c r="G44" s="118">
        <f t="shared" si="2"/>
        <v>1.0339233789351851E-4</v>
      </c>
      <c r="H44" s="118">
        <f t="shared" si="2"/>
        <v>-2.2222589942655728E-6</v>
      </c>
      <c r="I44" s="118">
        <f t="shared" si="2"/>
        <v>2.2420631146359429E-6</v>
      </c>
      <c r="J44" s="118">
        <f t="shared" si="2"/>
        <v>-2.6797755320917511E-4</v>
      </c>
      <c r="K44" s="118">
        <f t="shared" si="2"/>
        <v>-2.6797755367213806E-4</v>
      </c>
      <c r="L44" s="150">
        <f t="shared" si="2"/>
        <v>0.99561449732744101</v>
      </c>
    </row>
    <row r="45" spans="1:12" ht="15.75" thickBot="1" x14ac:dyDescent="0.3">
      <c r="A45" s="138" t="s">
        <v>68</v>
      </c>
      <c r="B45" s="161">
        <f>AVERAGE(B3,B5,B9,B11,B13,B15,B17,B19)</f>
        <v>1.4796525095752749E-2</v>
      </c>
      <c r="C45" s="152">
        <f t="shared" ref="C45:L45" si="3">AVERAGE(C3,C5,C9,C11,C13,C15,C17,C19)</f>
        <v>2.3288352248974222</v>
      </c>
      <c r="D45" s="152">
        <f t="shared" si="3"/>
        <v>2.5601921777111891</v>
      </c>
      <c r="E45" s="152">
        <f t="shared" si="3"/>
        <v>9.2194308310175124E-3</v>
      </c>
      <c r="F45" s="119">
        <f t="shared" si="3"/>
        <v>3.1830724368667864E-5</v>
      </c>
      <c r="G45" s="119">
        <f t="shared" si="3"/>
        <v>1.9434483794006393E-5</v>
      </c>
      <c r="H45" s="119">
        <f t="shared" si="3"/>
        <v>1.5294070256680268E-6</v>
      </c>
      <c r="I45" s="119">
        <f t="shared" si="3"/>
        <v>1.5350174958295779E-6</v>
      </c>
      <c r="J45" s="119">
        <f t="shared" si="3"/>
        <v>3.2429255689942808E-5</v>
      </c>
      <c r="K45" s="119">
        <f t="shared" si="3"/>
        <v>3.242925517181516E-5</v>
      </c>
      <c r="L45" s="152">
        <f t="shared" si="3"/>
        <v>1.9146184750578749E-3</v>
      </c>
    </row>
    <row r="46" spans="1:12" ht="18.75" x14ac:dyDescent="0.25">
      <c r="A46" s="139" t="s">
        <v>56</v>
      </c>
      <c r="B46" s="159">
        <f>AVERAGE(B20,B22,B24,B26,B28,B30,B32,B34,B36,B38,B40)</f>
        <v>0.15203795857195956</v>
      </c>
      <c r="C46" s="125">
        <f t="shared" ref="C46:L47" si="4">AVERAGE(C20,C22,C24,C26,C28,C30,C32,C34,C36,C38,C40)</f>
        <v>21.962588824871379</v>
      </c>
      <c r="D46" s="125">
        <f t="shared" si="4"/>
        <v>9.6056143322058105</v>
      </c>
      <c r="E46" s="125">
        <f t="shared" si="4"/>
        <v>1.5298512158214201</v>
      </c>
      <c r="F46" s="114">
        <f t="shared" si="4"/>
        <v>-1.1592049243372657E-4</v>
      </c>
      <c r="G46" s="114">
        <f t="shared" si="4"/>
        <v>9.5057638983980902E-5</v>
      </c>
      <c r="H46" s="114">
        <f t="shared" si="4"/>
        <v>-3.7951885053652722E-6</v>
      </c>
      <c r="I46" s="114">
        <f t="shared" si="4"/>
        <v>3.7981465375923046E-6</v>
      </c>
      <c r="J46" s="114">
        <f t="shared" si="4"/>
        <v>6.5872025331607584E-6</v>
      </c>
      <c r="K46" s="114">
        <f t="shared" si="4"/>
        <v>-2.1097815414163317E-4</v>
      </c>
      <c r="L46" s="113">
        <f t="shared" si="4"/>
        <v>0.99685176343715076</v>
      </c>
    </row>
    <row r="47" spans="1:12" ht="15.75" thickBot="1" x14ac:dyDescent="0.3">
      <c r="A47" s="140" t="s">
        <v>68</v>
      </c>
      <c r="B47" s="160">
        <f>AVERAGE(B21,B23,B25,B27,B29,B31,B33,B35,B37,B39,B41)</f>
        <v>1.7073056736296631E-2</v>
      </c>
      <c r="C47" s="129">
        <f t="shared" si="4"/>
        <v>1.9876967774864089</v>
      </c>
      <c r="D47" s="129">
        <f t="shared" si="4"/>
        <v>1.953705129777193</v>
      </c>
      <c r="E47" s="129">
        <f t="shared" si="4"/>
        <v>7.7556723499472629E-3</v>
      </c>
      <c r="F47" s="120">
        <f t="shared" si="4"/>
        <v>3.9994118929556785E-5</v>
      </c>
      <c r="G47" s="120">
        <f t="shared" si="4"/>
        <v>3.1264542946522259E-5</v>
      </c>
      <c r="H47" s="120">
        <f t="shared" si="4"/>
        <v>1.6692017122268883E-6</v>
      </c>
      <c r="I47" s="120">
        <f t="shared" si="4"/>
        <v>1.66984817586229E-6</v>
      </c>
      <c r="J47" s="120">
        <f t="shared" si="4"/>
        <v>3.2211693684752645E-5</v>
      </c>
      <c r="K47" s="120">
        <f t="shared" si="4"/>
        <v>3.8615169144283671E-5</v>
      </c>
      <c r="L47" s="101">
        <f t="shared" si="4"/>
        <v>9.1495124678434145E-4</v>
      </c>
    </row>
    <row r="48" spans="1:12" x14ac:dyDescent="0.25">
      <c r="A48" s="187" t="s">
        <v>75</v>
      </c>
      <c r="B48" s="188"/>
      <c r="C48" s="187" t="s">
        <v>76</v>
      </c>
      <c r="D48" s="188"/>
      <c r="E48" s="98"/>
      <c r="J48" s="98"/>
      <c r="K48" s="98"/>
      <c r="L48" s="98"/>
    </row>
    <row r="49" spans="1:12" ht="21" x14ac:dyDescent="0.25">
      <c r="A49" s="99" t="s">
        <v>126</v>
      </c>
      <c r="B49" s="143">
        <f>($O$3*($O$2^4))/($O$4*(B42^4))*10^-6</f>
        <v>27.883238142762458</v>
      </c>
      <c r="C49" s="99" t="s">
        <v>126</v>
      </c>
      <c r="D49" s="143">
        <f>($O$3*($O$2^4))/($O$5*(B42^4))*10^-6</f>
        <v>3.1437325119802022</v>
      </c>
      <c r="E49" s="102"/>
      <c r="J49" s="102"/>
      <c r="K49" s="102"/>
      <c r="L49" s="102"/>
    </row>
    <row r="50" spans="1:12" ht="15.75" x14ac:dyDescent="0.25">
      <c r="A50" s="141" t="s">
        <v>127</v>
      </c>
      <c r="B50" s="143">
        <f>($O$3*($O$2^4))/($O$4*(B44^4))*10^-6</f>
        <v>27.961689630194268</v>
      </c>
      <c r="C50" s="141" t="s">
        <v>127</v>
      </c>
      <c r="D50" s="143">
        <f>($O$3*($O$2^4))/($O$5*(B44^4))*10^-6</f>
        <v>3.1525776285477196</v>
      </c>
      <c r="E50" s="102"/>
      <c r="J50" s="102"/>
      <c r="K50" s="102"/>
      <c r="L50" s="102"/>
    </row>
    <row r="51" spans="1:12" ht="16.5" thickBot="1" x14ac:dyDescent="0.3">
      <c r="A51" s="142" t="s">
        <v>128</v>
      </c>
      <c r="B51" s="153">
        <f>($O$3*($O$2^4))/($O$4*(B46^4))*10^-6</f>
        <v>27.826355273779683</v>
      </c>
      <c r="C51" s="142" t="s">
        <v>128</v>
      </c>
      <c r="D51" s="153">
        <f>($O$3*($O$2^4))/($O$5*(B46^4))*10^-6</f>
        <v>3.1373191777870826</v>
      </c>
      <c r="E51" s="102"/>
      <c r="J51" s="102"/>
      <c r="K51" s="102"/>
      <c r="L51" s="102"/>
    </row>
    <row r="52" spans="1:12" x14ac:dyDescent="0.25">
      <c r="A52" s="187" t="s">
        <v>125</v>
      </c>
      <c r="B52" s="188"/>
      <c r="C52" s="187" t="s">
        <v>76</v>
      </c>
      <c r="D52" s="188"/>
    </row>
    <row r="53" spans="1:12" ht="21" x14ac:dyDescent="0.25">
      <c r="A53" s="99" t="s">
        <v>126</v>
      </c>
      <c r="B53" s="143">
        <f>($O$3*($O$2^4))/($O$4*((B42-B43)^4))*10^-6</f>
        <v>43.659529751705804</v>
      </c>
      <c r="C53" s="99" t="s">
        <v>126</v>
      </c>
      <c r="D53" s="143">
        <f>($O$3*($O$2^4))/($O$5*((B42+B43)^4))*10^-6</f>
        <v>2.1006593442633115</v>
      </c>
    </row>
    <row r="54" spans="1:12" ht="15.75" x14ac:dyDescent="0.25">
      <c r="A54" s="141" t="s">
        <v>127</v>
      </c>
      <c r="B54" s="143">
        <f>($O$3*($O$2^4))/($O$4*((B44-B45)^4))*10^-6</f>
        <v>42.136443138926239</v>
      </c>
      <c r="C54" s="141" t="s">
        <v>127</v>
      </c>
      <c r="D54" s="143">
        <f>($O$3*($O$2^4))/($O$5*((B44+B45)^4))*10^-6</f>
        <v>2.1734199103610226</v>
      </c>
    </row>
    <row r="55" spans="1:12" ht="16.5" thickBot="1" x14ac:dyDescent="0.3">
      <c r="A55" s="142" t="s">
        <v>128</v>
      </c>
      <c r="B55" s="143">
        <f>($O$3*($O$2^4))/($O$4*((B46-B47)^4))*10^-6</f>
        <v>44.810632262973193</v>
      </c>
      <c r="C55" s="142" t="s">
        <v>128</v>
      </c>
      <c r="D55" s="143">
        <f>($O$3*($O$2^4))/($O$5*((B46+B47)^4))*10^-6</f>
        <v>2.0496477730802889</v>
      </c>
    </row>
    <row r="56" spans="1:12" x14ac:dyDescent="0.25">
      <c r="A56" s="187" t="s">
        <v>124</v>
      </c>
      <c r="B56" s="188"/>
      <c r="C56" s="187" t="s">
        <v>76</v>
      </c>
      <c r="D56" s="188"/>
    </row>
    <row r="57" spans="1:12" ht="21" x14ac:dyDescent="0.25">
      <c r="A57" s="99" t="s">
        <v>126</v>
      </c>
      <c r="B57" s="143">
        <f>($O$3*($O$2^4))/($O$4*((B42+B43)^4))*10^-6</f>
        <v>18.631732989273488</v>
      </c>
      <c r="C57" s="99" t="s">
        <v>126</v>
      </c>
      <c r="D57" s="143">
        <f>($O$3*($O$2^4))/($O$5*((B42-B43)^4))*10^-6</f>
        <v>4.9224513464133253</v>
      </c>
    </row>
    <row r="58" spans="1:12" ht="15.75" x14ac:dyDescent="0.25">
      <c r="A58" s="141" t="s">
        <v>127</v>
      </c>
      <c r="B58" s="143">
        <f>($O$3*($O$2^4))/($O$4*((B44+B45)^4))*10^-6</f>
        <v>19.277080576631288</v>
      </c>
      <c r="C58" s="141" t="s">
        <v>127</v>
      </c>
      <c r="D58" s="143">
        <f>($O$3*($O$2^4))/($O$5*((B44-B45)^4))*10^-6</f>
        <v>4.7507289345958243</v>
      </c>
    </row>
    <row r="59" spans="1:12" ht="16.5" thickBot="1" x14ac:dyDescent="0.3">
      <c r="A59" s="142" t="s">
        <v>128</v>
      </c>
      <c r="B59" s="143">
        <f>($O$3*($O$2^4))/($O$4*((B46+B47)^4))*10^-6</f>
        <v>18.179287438670087</v>
      </c>
      <c r="C59" s="142" t="s">
        <v>128</v>
      </c>
      <c r="D59" s="143">
        <f>($O$3*($O$2^4))/($O$5*((B46-B47)^4))*10^-6</f>
        <v>5.0522339193973265</v>
      </c>
    </row>
  </sheetData>
  <mergeCells count="10">
    <mergeCell ref="A52:B52"/>
    <mergeCell ref="A56:B56"/>
    <mergeCell ref="C52:D52"/>
    <mergeCell ref="C56:D56"/>
    <mergeCell ref="N1:O1"/>
    <mergeCell ref="N9:O9"/>
    <mergeCell ref="N14:O14"/>
    <mergeCell ref="N8:O8"/>
    <mergeCell ref="A48:B48"/>
    <mergeCell ref="C48:D4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N14"/>
  <sheetViews>
    <sheetView workbookViewId="0">
      <selection activeCell="I15" sqref="I15"/>
    </sheetView>
  </sheetViews>
  <sheetFormatPr defaultRowHeight="15" x14ac:dyDescent="0.25"/>
  <cols>
    <col min="1" max="1" width="12.7109375" bestFit="1" customWidth="1"/>
    <col min="4" max="5" width="10.28515625" customWidth="1"/>
    <col min="6" max="6" width="10.7109375" customWidth="1"/>
    <col min="7" max="7" width="9.85546875" bestFit="1" customWidth="1"/>
    <col min="8" max="11" width="12" bestFit="1" customWidth="1"/>
  </cols>
  <sheetData>
    <row r="1" spans="1:14" x14ac:dyDescent="0.25">
      <c r="A1" s="215" t="s">
        <v>18</v>
      </c>
      <c r="B1" s="216"/>
      <c r="C1" s="216"/>
      <c r="D1" s="216"/>
      <c r="E1" s="216"/>
      <c r="F1" s="217"/>
      <c r="G1" s="40"/>
    </row>
    <row r="2" spans="1:14" ht="45" x14ac:dyDescent="0.25">
      <c r="A2" s="1" t="s">
        <v>1</v>
      </c>
      <c r="B2" s="2" t="s">
        <v>2</v>
      </c>
      <c r="C2" s="2" t="s">
        <v>19</v>
      </c>
      <c r="D2" s="2" t="s">
        <v>20</v>
      </c>
      <c r="E2" s="2" t="s">
        <v>44</v>
      </c>
      <c r="F2" s="3" t="s">
        <v>4</v>
      </c>
      <c r="G2" s="41" t="s">
        <v>5</v>
      </c>
      <c r="H2" s="3" t="s">
        <v>37</v>
      </c>
      <c r="I2" s="50" t="s">
        <v>39</v>
      </c>
      <c r="J2" s="50" t="s">
        <v>41</v>
      </c>
      <c r="K2" s="50" t="s">
        <v>38</v>
      </c>
      <c r="L2" s="3" t="s">
        <v>42</v>
      </c>
      <c r="M2" s="3" t="s">
        <v>40</v>
      </c>
      <c r="N2" s="50" t="s">
        <v>43</v>
      </c>
    </row>
    <row r="3" spans="1:14" x14ac:dyDescent="0.25">
      <c r="A3" s="22">
        <v>6</v>
      </c>
      <c r="B3" s="42">
        <v>0.179394</v>
      </c>
      <c r="C3" s="13">
        <v>24.081099999999999</v>
      </c>
      <c r="D3" s="29">
        <v>13.05</v>
      </c>
      <c r="E3" s="29">
        <f>C3-D3</f>
        <v>11.031099999999999</v>
      </c>
      <c r="F3" s="29">
        <v>1.569</v>
      </c>
      <c r="G3" s="25"/>
      <c r="H3">
        <v>2.0094899999999999E-4</v>
      </c>
      <c r="I3">
        <v>-7.5824199999999998E-5</v>
      </c>
      <c r="J3">
        <f>-1.36205*10^-7</f>
        <v>-1.3620499999999999E-7</v>
      </c>
      <c r="K3">
        <f>1.36205*10^-7</f>
        <v>1.3620499999999999E-7</v>
      </c>
      <c r="L3">
        <v>-2.7677300000000001E-4</v>
      </c>
      <c r="M3">
        <v>-2.7677300000000001E-4</v>
      </c>
      <c r="N3">
        <v>0.99553100000000005</v>
      </c>
    </row>
    <row r="4" spans="1:14" x14ac:dyDescent="0.25">
      <c r="A4" s="22">
        <v>86</v>
      </c>
      <c r="B4" s="29">
        <v>0.18993199999999999</v>
      </c>
      <c r="C4" s="13">
        <v>22.820499999999999</v>
      </c>
      <c r="D4" s="29">
        <v>12.62</v>
      </c>
      <c r="E4" s="29">
        <f t="shared" ref="E4:E10" si="0">C4-D4</f>
        <v>10.2005</v>
      </c>
      <c r="F4" s="29">
        <v>1.5680000000000001</v>
      </c>
      <c r="G4" s="25"/>
      <c r="H4">
        <v>1.88047E-4</v>
      </c>
      <c r="I4">
        <v>-6.8960400000000005E-5</v>
      </c>
      <c r="J4">
        <f>-1.92836*10^-7</f>
        <v>-1.9283599999999999E-7</v>
      </c>
      <c r="K4">
        <f>1.92836*10^-7</f>
        <v>1.9283599999999999E-7</v>
      </c>
      <c r="L4">
        <v>-2.5700700000000001E-4</v>
      </c>
      <c r="M4">
        <v>-2.5700700000000001E-4</v>
      </c>
      <c r="N4">
        <v>0.99595999999999996</v>
      </c>
    </row>
    <row r="5" spans="1:14" x14ac:dyDescent="0.25">
      <c r="A5" s="22">
        <v>152</v>
      </c>
      <c r="B5" s="42">
        <v>0.18887200000000001</v>
      </c>
      <c r="C5" s="13">
        <v>23.421099999999999</v>
      </c>
      <c r="D5" s="29">
        <v>12.95</v>
      </c>
      <c r="E5" s="29">
        <f t="shared" si="0"/>
        <v>10.4711</v>
      </c>
      <c r="F5" s="29">
        <v>1.5720000000000001</v>
      </c>
      <c r="G5" s="25"/>
      <c r="H5">
        <v>1.97243E-4</v>
      </c>
      <c r="I5">
        <v>-7.0521399999999999E-5</v>
      </c>
      <c r="J5">
        <f>8.48848*10^-8</f>
        <v>8.4884799999999998E-8</v>
      </c>
      <c r="K5">
        <f>-8.48848*10^-8</f>
        <v>-8.4884799999999998E-8</v>
      </c>
      <c r="L5">
        <v>-2.6776399999999998E-4</v>
      </c>
      <c r="M5">
        <v>-2.6776399999999998E-4</v>
      </c>
      <c r="N5">
        <v>0.99542299999999995</v>
      </c>
    </row>
    <row r="6" spans="1:14" x14ac:dyDescent="0.25">
      <c r="A6" s="22">
        <v>211</v>
      </c>
      <c r="B6" s="22">
        <v>0.18024200000000001</v>
      </c>
      <c r="C6" s="13">
        <v>24.027000000000001</v>
      </c>
      <c r="D6" s="22">
        <v>13.3</v>
      </c>
      <c r="E6" s="29">
        <f t="shared" si="0"/>
        <v>10.727</v>
      </c>
      <c r="F6" s="24">
        <v>1.569</v>
      </c>
      <c r="G6" s="25"/>
      <c r="H6">
        <v>1.9143799999999999E-4</v>
      </c>
      <c r="I6">
        <v>-7.0465300000000004E-5</v>
      </c>
      <c r="J6">
        <f>-7.60796*10^-7</f>
        <v>-7.6079599999999998E-7</v>
      </c>
      <c r="K6">
        <f>7.60796*10^-7</f>
        <v>7.6079599999999998E-7</v>
      </c>
      <c r="L6">
        <v>-2.6190300000000002E-4</v>
      </c>
      <c r="M6">
        <v>-2.6190300000000002E-4</v>
      </c>
      <c r="N6">
        <v>0.99554100000000001</v>
      </c>
    </row>
    <row r="7" spans="1:14" x14ac:dyDescent="0.25">
      <c r="A7" s="22">
        <v>346</v>
      </c>
      <c r="B7" s="22">
        <v>0.180339</v>
      </c>
      <c r="C7" s="13">
        <v>23.421099999999999</v>
      </c>
      <c r="D7" s="23">
        <v>12.95</v>
      </c>
      <c r="E7" s="29">
        <f t="shared" si="0"/>
        <v>10.4711</v>
      </c>
      <c r="F7" s="24">
        <v>1.56</v>
      </c>
      <c r="G7" s="25"/>
      <c r="H7">
        <v>1.9143799999999999E-4</v>
      </c>
      <c r="I7">
        <v>-7.0465300000000004E-5</v>
      </c>
      <c r="J7">
        <f>-7.60796*10^-7</f>
        <v>-7.6079599999999998E-7</v>
      </c>
      <c r="K7">
        <f>7.60796*10^-7</f>
        <v>7.6079599999999998E-7</v>
      </c>
      <c r="L7">
        <v>-2.6190300000000002E-4</v>
      </c>
      <c r="M7">
        <v>-2.6190300000000002E-4</v>
      </c>
      <c r="N7">
        <v>0.99554100000000001</v>
      </c>
    </row>
    <row r="8" spans="1:14" x14ac:dyDescent="0.25">
      <c r="A8" s="22">
        <v>402</v>
      </c>
      <c r="B8" s="25">
        <v>0.181173</v>
      </c>
      <c r="C8" s="13">
        <v>24.054099999999998</v>
      </c>
      <c r="D8" s="22">
        <v>13.3</v>
      </c>
      <c r="E8" s="29">
        <f t="shared" si="0"/>
        <v>10.754099999999998</v>
      </c>
      <c r="F8" s="24">
        <v>1.571</v>
      </c>
      <c r="G8" s="25"/>
      <c r="H8">
        <v>1.97581E-4</v>
      </c>
      <c r="I8">
        <v>-7.3046499999999999E-5</v>
      </c>
      <c r="J8">
        <f>1.48776*10^-8</f>
        <v>1.4877600000000001E-8</v>
      </c>
      <c r="K8">
        <f>-1.48776*10^-8</f>
        <v>-1.4877600000000001E-8</v>
      </c>
      <c r="L8">
        <v>-2.7062800000000003E-4</v>
      </c>
      <c r="M8">
        <v>-2.7062800000000003E-4</v>
      </c>
      <c r="N8">
        <v>0.99500200000000005</v>
      </c>
    </row>
    <row r="9" spans="1:14" x14ac:dyDescent="0.25">
      <c r="A9" s="22">
        <v>467</v>
      </c>
      <c r="B9" s="25">
        <v>0.18414800000000001</v>
      </c>
      <c r="C9" s="13">
        <v>24.054099999999998</v>
      </c>
      <c r="D9" s="22">
        <v>13.3</v>
      </c>
      <c r="E9" s="29">
        <f t="shared" si="0"/>
        <v>10.754099999999998</v>
      </c>
      <c r="F9" s="24">
        <v>1.577</v>
      </c>
      <c r="G9" s="25"/>
      <c r="H9">
        <v>1.9835999999999999E-4</v>
      </c>
      <c r="I9">
        <v>-7.3378299999999995E-5</v>
      </c>
      <c r="J9">
        <f>4.55221*10^-7</f>
        <v>4.5522099999999994E-7</v>
      </c>
      <c r="K9">
        <f>-4.55221*10^-7</f>
        <v>-4.5522099999999994E-7</v>
      </c>
      <c r="L9">
        <v>-2.7173799999999999E-4</v>
      </c>
      <c r="M9">
        <v>-2.7173799999999999E-4</v>
      </c>
      <c r="N9">
        <v>0.99450499999999997</v>
      </c>
    </row>
    <row r="10" spans="1:14" ht="15.75" thickBot="1" x14ac:dyDescent="0.3">
      <c r="A10" s="70">
        <v>501</v>
      </c>
      <c r="B10" s="58">
        <v>0.18326000000000001</v>
      </c>
      <c r="C10" s="75">
        <v>24.027000000000001</v>
      </c>
      <c r="D10" s="70">
        <v>13.3</v>
      </c>
      <c r="E10" s="29">
        <f t="shared" si="0"/>
        <v>10.727</v>
      </c>
      <c r="F10" s="71">
        <v>1.5740000000000001</v>
      </c>
      <c r="G10" s="58"/>
      <c r="H10">
        <v>1.9828900000000001E-4</v>
      </c>
      <c r="I10">
        <v>-7.2860899999999999E-5</v>
      </c>
      <c r="J10">
        <f>2.33423*10^-7</f>
        <v>2.3342299999999996E-7</v>
      </c>
      <c r="K10">
        <f>-2.33423*10^-7</f>
        <v>-2.3342299999999996E-7</v>
      </c>
      <c r="L10">
        <v>-2.7115E-4</v>
      </c>
      <c r="M10">
        <v>-2.7115E-4</v>
      </c>
      <c r="N10">
        <v>0.99473199999999995</v>
      </c>
    </row>
    <row r="11" spans="1:14" x14ac:dyDescent="0.25">
      <c r="A11" s="63" t="s">
        <v>6</v>
      </c>
      <c r="B11" s="65">
        <f t="shared" ref="B11:D11" si="1">AVERAGE(B3:B10)</f>
        <v>0.18342</v>
      </c>
      <c r="C11" s="65">
        <f t="shared" si="1"/>
        <v>23.738250000000001</v>
      </c>
      <c r="D11" s="65">
        <f t="shared" si="1"/>
        <v>13.09625</v>
      </c>
      <c r="E11" s="65">
        <f>AVERAGE(E3:E10)</f>
        <v>10.641999999999999</v>
      </c>
      <c r="F11" s="66">
        <f>AVERAGE(F3:F10)</f>
        <v>1.5699999999999998</v>
      </c>
      <c r="G11" s="64" t="s">
        <v>52</v>
      </c>
      <c r="H11" s="65">
        <f>-AVERAGE(H3:H10)</f>
        <v>-1.9541812499999998E-4</v>
      </c>
      <c r="I11" s="65">
        <f>-AVERAGE(I3:I10)</f>
        <v>7.1940287500000009E-5</v>
      </c>
      <c r="J11" s="65">
        <f t="shared" ref="J11:N11" si="2">AVERAGE(J3:J10)</f>
        <v>-1.3277832499999999E-7</v>
      </c>
      <c r="K11" s="65">
        <f t="shared" si="2"/>
        <v>1.3277832499999999E-7</v>
      </c>
      <c r="L11" s="65">
        <f t="shared" si="2"/>
        <v>-2.6735824999999996E-4</v>
      </c>
      <c r="M11" s="65">
        <f t="shared" si="2"/>
        <v>-2.6735824999999996E-4</v>
      </c>
      <c r="N11" s="66">
        <f t="shared" si="2"/>
        <v>0.99527937500000008</v>
      </c>
    </row>
    <row r="12" spans="1:14" ht="15.75" thickBot="1" x14ac:dyDescent="0.3">
      <c r="A12" s="46" t="s">
        <v>7</v>
      </c>
      <c r="B12" s="68">
        <f t="shared" ref="B12:D12" si="3">_xlfn.STDEV.P(B3:B10)</f>
        <v>3.7672264665135264E-3</v>
      </c>
      <c r="C12" s="68">
        <f t="shared" si="3"/>
        <v>0.43692891298242115</v>
      </c>
      <c r="D12" s="68">
        <f t="shared" si="3"/>
        <v>0.23393041166124659</v>
      </c>
      <c r="E12" s="68">
        <f>_xlfn.STDEV.P(E3:E10)</f>
        <v>0.23566859676248714</v>
      </c>
      <c r="F12" s="69">
        <f>_xlfn.STDEV.P(F3:F10)</f>
        <v>4.6904157598234159E-3</v>
      </c>
      <c r="G12" s="67" t="s">
        <v>53</v>
      </c>
      <c r="H12" s="68">
        <f>_xlfn.STDEV.P(H3:H10)</f>
        <v>4.2058233568916098E-6</v>
      </c>
      <c r="I12" s="68">
        <f t="shared" ref="I12:N12" si="4">_xlfn.STDEV.P(I3:I10)</f>
        <v>2.0756937764501152E-6</v>
      </c>
      <c r="J12" s="68">
        <f t="shared" si="4"/>
        <v>4.0949010846682163E-7</v>
      </c>
      <c r="K12" s="68">
        <f t="shared" si="4"/>
        <v>4.0949010846682163E-7</v>
      </c>
      <c r="L12" s="68">
        <f t="shared" si="4"/>
        <v>6.1208748915085634E-6</v>
      </c>
      <c r="M12" s="68">
        <f t="shared" si="4"/>
        <v>6.1208748915085634E-6</v>
      </c>
      <c r="N12" s="69">
        <f t="shared" si="4"/>
        <v>4.5556309593184117E-4</v>
      </c>
    </row>
    <row r="13" spans="1:14" x14ac:dyDescent="0.25">
      <c r="A13" s="43" t="s">
        <v>8</v>
      </c>
      <c r="B13" s="44">
        <f>B11+B12</f>
        <v>0.18718722646651353</v>
      </c>
      <c r="C13" s="42"/>
      <c r="D13" s="42"/>
      <c r="E13" s="42"/>
      <c r="F13" s="42"/>
      <c r="G13" s="42"/>
    </row>
    <row r="14" spans="1:14" ht="15.75" thickBot="1" x14ac:dyDescent="0.3">
      <c r="A14" s="46" t="s">
        <v>9</v>
      </c>
      <c r="B14" s="47">
        <f>B11-B12</f>
        <v>0.17965277353348647</v>
      </c>
      <c r="C14" s="42"/>
      <c r="D14" s="42"/>
      <c r="E14" s="42"/>
      <c r="F14" s="42"/>
      <c r="G14" s="42"/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2:N16"/>
  <sheetViews>
    <sheetView workbookViewId="0">
      <selection activeCell="H13" activeCellId="2" sqref="B13:C14 E13:F14 H13:N14"/>
    </sheetView>
  </sheetViews>
  <sheetFormatPr defaultRowHeight="15" x14ac:dyDescent="0.25"/>
  <cols>
    <col min="7" max="7" width="9.85546875" bestFit="1" customWidth="1"/>
    <col min="8" max="8" width="12" bestFit="1" customWidth="1"/>
    <col min="11" max="11" width="12" bestFit="1" customWidth="1"/>
  </cols>
  <sheetData>
    <row r="2" spans="1:14" ht="15.75" thickBot="1" x14ac:dyDescent="0.3"/>
    <row r="3" spans="1:14" x14ac:dyDescent="0.25">
      <c r="A3" s="215" t="s">
        <v>21</v>
      </c>
      <c r="B3" s="216"/>
      <c r="C3" s="216"/>
      <c r="D3" s="216"/>
      <c r="E3" s="216"/>
      <c r="F3" s="217"/>
      <c r="G3" s="40"/>
    </row>
    <row r="4" spans="1:14" ht="45" x14ac:dyDescent="0.25">
      <c r="A4" s="1" t="s">
        <v>1</v>
      </c>
      <c r="B4" s="2" t="s">
        <v>2</v>
      </c>
      <c r="C4" s="2" t="s">
        <v>19</v>
      </c>
      <c r="D4" s="2" t="s">
        <v>20</v>
      </c>
      <c r="E4" s="2" t="s">
        <v>44</v>
      </c>
      <c r="F4" s="3" t="s">
        <v>4</v>
      </c>
      <c r="G4" s="41" t="s">
        <v>5</v>
      </c>
      <c r="H4" s="3" t="s">
        <v>37</v>
      </c>
      <c r="I4" s="50" t="s">
        <v>39</v>
      </c>
      <c r="J4" s="50" t="s">
        <v>41</v>
      </c>
      <c r="K4" s="50" t="s">
        <v>38</v>
      </c>
      <c r="L4" s="3" t="s">
        <v>42</v>
      </c>
      <c r="M4" s="3" t="s">
        <v>40</v>
      </c>
      <c r="N4" s="50" t="s">
        <v>43</v>
      </c>
    </row>
    <row r="5" spans="1:14" x14ac:dyDescent="0.25">
      <c r="A5" s="22">
        <v>19</v>
      </c>
      <c r="B5" s="42">
        <v>0.126855</v>
      </c>
      <c r="C5" s="13">
        <v>26.422699999999999</v>
      </c>
      <c r="D5" s="29">
        <v>12.9</v>
      </c>
      <c r="E5" s="29">
        <f>C5-D5</f>
        <v>13.522699999999999</v>
      </c>
      <c r="F5" s="29">
        <v>1.5289999999999999</v>
      </c>
      <c r="G5" s="25"/>
      <c r="H5">
        <v>2.10769E-4</v>
      </c>
      <c r="I5">
        <v>-1.01003E-4</v>
      </c>
      <c r="J5">
        <f>-4.22403*10^-6</f>
        <v>-4.2240300000000001E-6</v>
      </c>
      <c r="K5">
        <f>4.22403*10^-6</f>
        <v>4.2240300000000001E-6</v>
      </c>
      <c r="L5">
        <v>-3.11773E-4</v>
      </c>
      <c r="M5">
        <v>-3.11773E-4</v>
      </c>
      <c r="N5">
        <v>0.991676</v>
      </c>
    </row>
    <row r="6" spans="1:14" x14ac:dyDescent="0.25">
      <c r="A6" s="22">
        <v>91</v>
      </c>
      <c r="B6" s="29">
        <v>0.12803500000000001</v>
      </c>
      <c r="C6" s="13">
        <v>27.285699999999999</v>
      </c>
      <c r="D6" s="29">
        <v>13.32</v>
      </c>
      <c r="E6" s="29">
        <f t="shared" ref="E6:E12" si="0">C6-D6</f>
        <v>13.965699999999998</v>
      </c>
      <c r="F6" s="29">
        <v>1.532</v>
      </c>
      <c r="G6" s="25"/>
      <c r="H6">
        <v>2.2666799999999999E-4</v>
      </c>
      <c r="I6">
        <v>-1.00228E-4</v>
      </c>
      <c r="J6">
        <f>-3.89045*10^-6</f>
        <v>-3.8904500000000002E-6</v>
      </c>
      <c r="K6">
        <f>3.89045*10^-6</f>
        <v>3.8904500000000002E-6</v>
      </c>
      <c r="L6">
        <v>-3.2689600000000002E-4</v>
      </c>
      <c r="M6">
        <v>-3.2689600000000002E-4</v>
      </c>
      <c r="N6">
        <v>0.99161299999999997</v>
      </c>
    </row>
    <row r="7" spans="1:14" x14ac:dyDescent="0.25">
      <c r="A7" s="22">
        <v>236</v>
      </c>
      <c r="B7" s="42">
        <v>0.1249</v>
      </c>
      <c r="C7" s="13">
        <v>27.285699999999999</v>
      </c>
      <c r="D7" s="29">
        <v>13.32</v>
      </c>
      <c r="E7" s="29">
        <f t="shared" si="0"/>
        <v>13.965699999999998</v>
      </c>
      <c r="F7" s="29">
        <v>1.532</v>
      </c>
      <c r="G7" s="25"/>
      <c r="H7">
        <v>2.1904100000000001E-4</v>
      </c>
      <c r="I7">
        <v>-1.03674E-4</v>
      </c>
      <c r="J7">
        <f>-4.0242*10^-6</f>
        <v>-4.0242000000000004E-6</v>
      </c>
      <c r="K7">
        <f>4.0242*10^-6</f>
        <v>4.0242000000000004E-6</v>
      </c>
      <c r="L7">
        <v>-3.2271600000000002E-4</v>
      </c>
      <c r="M7">
        <v>-3.2271600000000002E-4</v>
      </c>
      <c r="N7">
        <v>0.99178599999999995</v>
      </c>
    </row>
    <row r="8" spans="1:14" x14ac:dyDescent="0.25">
      <c r="A8" s="22">
        <v>436</v>
      </c>
      <c r="B8" s="22">
        <v>0.12043</v>
      </c>
      <c r="C8" s="13">
        <v>27.285699999999999</v>
      </c>
      <c r="D8" s="29">
        <v>13.32</v>
      </c>
      <c r="E8" s="29">
        <f t="shared" si="0"/>
        <v>13.965699999999998</v>
      </c>
      <c r="F8" s="24">
        <v>1.534</v>
      </c>
      <c r="G8" s="25"/>
      <c r="H8">
        <v>2.0288500000000001E-4</v>
      </c>
      <c r="I8">
        <v>-1.1256000000000001E-4</v>
      </c>
      <c r="J8">
        <f>-4.14365*10^-6</f>
        <v>-4.1436499999999997E-6</v>
      </c>
      <c r="K8">
        <f>4.14365*10^-6</f>
        <v>4.1436499999999997E-6</v>
      </c>
      <c r="L8">
        <v>-3.1544400000000001E-4</v>
      </c>
      <c r="M8">
        <v>-3.1544400000000001E-4</v>
      </c>
      <c r="N8">
        <v>0.99149299999999996</v>
      </c>
    </row>
    <row r="9" spans="1:14" x14ac:dyDescent="0.25">
      <c r="A9" s="22">
        <v>572</v>
      </c>
      <c r="B9" s="22">
        <v>0.12697600000000001</v>
      </c>
      <c r="C9" s="13">
        <v>27.285699999999999</v>
      </c>
      <c r="D9" s="29">
        <v>13.32</v>
      </c>
      <c r="E9" s="29">
        <f t="shared" si="0"/>
        <v>13.965699999999998</v>
      </c>
      <c r="F9" s="24">
        <v>1.54</v>
      </c>
      <c r="G9" s="25"/>
      <c r="H9">
        <v>2.07517E-4</v>
      </c>
      <c r="I9">
        <v>-1.0934600000000001E-4</v>
      </c>
      <c r="J9">
        <f>-3.36851*10^-6</f>
        <v>-3.3685099999999999E-6</v>
      </c>
      <c r="K9">
        <f>3.36851*10^-6</f>
        <v>3.3685099999999999E-6</v>
      </c>
      <c r="L9">
        <v>-3.16862E-4</v>
      </c>
      <c r="M9">
        <v>-3.16862E-4</v>
      </c>
      <c r="N9">
        <v>0.98921099999999995</v>
      </c>
    </row>
    <row r="10" spans="1:14" x14ac:dyDescent="0.25">
      <c r="A10" s="22">
        <v>726</v>
      </c>
      <c r="B10" s="25">
        <v>0.12875400000000001</v>
      </c>
      <c r="C10" s="13">
        <v>27.25</v>
      </c>
      <c r="D10" s="29">
        <v>13.32</v>
      </c>
      <c r="E10" s="29">
        <f t="shared" si="0"/>
        <v>13.93</v>
      </c>
      <c r="F10" s="24">
        <v>1.542</v>
      </c>
      <c r="G10" s="25"/>
      <c r="H10">
        <v>2.07319E-4</v>
      </c>
      <c r="I10">
        <v>-1.0880299999999999E-4</v>
      </c>
      <c r="J10">
        <f>-3.13399*10^-6</f>
        <v>-3.1339899999999997E-6</v>
      </c>
      <c r="K10">
        <f>3.13399*10^-6</f>
        <v>3.1339899999999997E-6</v>
      </c>
      <c r="L10">
        <v>-3.1612200000000001E-4</v>
      </c>
      <c r="M10">
        <v>-3.1612200000000001E-4</v>
      </c>
      <c r="N10">
        <v>0.988958</v>
      </c>
    </row>
    <row r="11" spans="1:14" x14ac:dyDescent="0.25">
      <c r="A11" s="22">
        <v>832</v>
      </c>
      <c r="B11" s="25">
        <v>0.13227900000000001</v>
      </c>
      <c r="C11" s="13">
        <v>26.408300000000001</v>
      </c>
      <c r="D11" s="29">
        <v>12.9</v>
      </c>
      <c r="E11" s="29">
        <f t="shared" si="0"/>
        <v>13.5083</v>
      </c>
      <c r="F11" s="24">
        <v>1.5389999999999999</v>
      </c>
      <c r="G11" s="25"/>
      <c r="H11">
        <v>2.0347799999999999E-4</v>
      </c>
      <c r="I11">
        <v>-1.0438999999999999E-4</v>
      </c>
      <c r="J11">
        <f>-3.32034*10^-6</f>
        <v>-3.3203399999999996E-6</v>
      </c>
      <c r="K11">
        <f>3.32034*10^-6</f>
        <v>3.3203399999999996E-6</v>
      </c>
      <c r="L11">
        <v>-3.0786799999999999E-4</v>
      </c>
      <c r="M11">
        <v>-3.0786799999999999E-4</v>
      </c>
      <c r="N11">
        <v>0.98787400000000003</v>
      </c>
    </row>
    <row r="12" spans="1:14" ht="15.75" thickBot="1" x14ac:dyDescent="0.3">
      <c r="A12" s="22">
        <v>924</v>
      </c>
      <c r="B12" s="25">
        <v>0.12341299999999999</v>
      </c>
      <c r="C12" s="13">
        <v>27.25</v>
      </c>
      <c r="D12" s="29">
        <v>13.32</v>
      </c>
      <c r="E12" s="29">
        <f t="shared" si="0"/>
        <v>13.93</v>
      </c>
      <c r="F12" s="24">
        <v>1.5389999999999999</v>
      </c>
      <c r="G12" s="58"/>
      <c r="H12">
        <v>1.9883800000000001E-4</v>
      </c>
      <c r="I12">
        <v>-1.1381499999999999E-4</v>
      </c>
      <c r="J12">
        <f>-3.62012*10^-6</f>
        <v>-3.62012E-6</v>
      </c>
      <c r="K12">
        <f>3.62012*10^-6</f>
        <v>3.62012E-6</v>
      </c>
      <c r="L12">
        <v>-3.1265299999999998E-4</v>
      </c>
      <c r="M12">
        <v>-3.1265299999999998E-4</v>
      </c>
      <c r="N12">
        <v>0.99118300000000004</v>
      </c>
    </row>
    <row r="13" spans="1:14" x14ac:dyDescent="0.25">
      <c r="A13" s="43" t="s">
        <v>6</v>
      </c>
      <c r="B13" s="65">
        <f t="shared" ref="B13:D13" si="1">AVERAGE(B5:B12)</f>
        <v>0.12645525000000002</v>
      </c>
      <c r="C13" s="65">
        <f t="shared" si="1"/>
        <v>27.059224999999998</v>
      </c>
      <c r="D13" s="65">
        <f t="shared" si="1"/>
        <v>13.215</v>
      </c>
      <c r="E13" s="65">
        <f>AVERAGE(E5:E12)</f>
        <v>13.844224999999998</v>
      </c>
      <c r="F13" s="65">
        <f>AVERAGE(F5:F12)</f>
        <v>1.5358749999999999</v>
      </c>
      <c r="G13" s="64" t="s">
        <v>52</v>
      </c>
      <c r="H13" s="65">
        <f>-AVERAGE(H5:H12)</f>
        <v>-2.0956437500000002E-4</v>
      </c>
      <c r="I13" s="65">
        <f>-AVERAGE(I5:I12)</f>
        <v>1.0672737499999999E-4</v>
      </c>
      <c r="J13" s="65">
        <f t="shared" ref="J13:N13" si="2">AVERAGE(J5:J12)</f>
        <v>-3.7156612500000001E-6</v>
      </c>
      <c r="K13" s="65">
        <f t="shared" si="2"/>
        <v>3.7156612500000001E-6</v>
      </c>
      <c r="L13" s="65">
        <f t="shared" si="2"/>
        <v>-3.1629175E-4</v>
      </c>
      <c r="M13" s="65">
        <f t="shared" si="2"/>
        <v>-3.1629175E-4</v>
      </c>
      <c r="N13" s="66">
        <f t="shared" si="2"/>
        <v>0.99047425</v>
      </c>
    </row>
    <row r="14" spans="1:14" ht="15.75" thickBot="1" x14ac:dyDescent="0.3">
      <c r="A14" s="45" t="s">
        <v>7</v>
      </c>
      <c r="B14" s="68">
        <f t="shared" ref="B14:D14" si="3">_xlfn.STDEV.P(B5:B12)</f>
        <v>3.3560510928023778E-3</v>
      </c>
      <c r="C14" s="68">
        <f t="shared" si="3"/>
        <v>0.37195788320050394</v>
      </c>
      <c r="D14" s="68">
        <f t="shared" si="3"/>
        <v>0.1818653347947321</v>
      </c>
      <c r="E14" s="68">
        <f>_xlfn.STDEV.P(E5:E12)</f>
        <v>0.19038229139024426</v>
      </c>
      <c r="F14" s="68">
        <f>_xlfn.STDEV.P(F5:F12)</f>
        <v>4.3999289766995164E-3</v>
      </c>
      <c r="G14" s="67" t="s">
        <v>53</v>
      </c>
      <c r="H14" s="68">
        <f>_xlfn.STDEV.P(H5:H12)</f>
        <v>8.5858758717078456E-6</v>
      </c>
      <c r="I14" s="68">
        <f t="shared" ref="I14:N14" si="4">_xlfn.STDEV.P(I5:I12)</f>
        <v>4.8116541318319005E-6</v>
      </c>
      <c r="J14" s="68">
        <f t="shared" si="4"/>
        <v>3.8594411481578216E-7</v>
      </c>
      <c r="K14" s="68">
        <f t="shared" si="4"/>
        <v>3.8594411481578216E-7</v>
      </c>
      <c r="L14" s="68">
        <f t="shared" si="4"/>
        <v>5.6944375655107624E-6</v>
      </c>
      <c r="M14" s="68">
        <f t="shared" si="4"/>
        <v>5.6944375655107624E-6</v>
      </c>
      <c r="N14" s="69">
        <f t="shared" si="4"/>
        <v>1.4429975528392151E-3</v>
      </c>
    </row>
    <row r="15" spans="1:14" x14ac:dyDescent="0.25">
      <c r="A15" s="45" t="s">
        <v>8</v>
      </c>
      <c r="B15" s="12">
        <f>B13+B14</f>
        <v>0.12981130109280239</v>
      </c>
      <c r="C15" s="42"/>
      <c r="D15" s="42"/>
      <c r="E15" s="42"/>
      <c r="F15" s="42"/>
      <c r="G15" s="42"/>
    </row>
    <row r="16" spans="1:14" ht="15.75" thickBot="1" x14ac:dyDescent="0.3">
      <c r="A16" s="46" t="s">
        <v>9</v>
      </c>
      <c r="B16" s="47">
        <f>B13-B14</f>
        <v>0.12309919890719764</v>
      </c>
      <c r="C16" s="42"/>
      <c r="D16" s="42"/>
      <c r="E16" s="42"/>
      <c r="F16" s="42"/>
      <c r="G16" s="42"/>
    </row>
  </sheetData>
  <mergeCells count="1"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2:N16"/>
  <sheetViews>
    <sheetView workbookViewId="0">
      <selection activeCell="H13" activeCellId="3" sqref="B13:B14 C13:C14 E13:F14 H13:N14"/>
    </sheetView>
  </sheetViews>
  <sheetFormatPr defaultRowHeight="15" x14ac:dyDescent="0.25"/>
  <cols>
    <col min="8" max="8" width="12" bestFit="1" customWidth="1"/>
    <col min="11" max="11" width="12" bestFit="1" customWidth="1"/>
  </cols>
  <sheetData>
    <row r="2" spans="1:14" ht="15.75" thickBot="1" x14ac:dyDescent="0.3"/>
    <row r="3" spans="1:14" x14ac:dyDescent="0.25">
      <c r="A3" s="215" t="s">
        <v>22</v>
      </c>
      <c r="B3" s="216"/>
      <c r="C3" s="216"/>
      <c r="D3" s="216"/>
      <c r="E3" s="216"/>
      <c r="F3" s="217"/>
      <c r="G3" s="40"/>
    </row>
    <row r="4" spans="1:14" ht="45" x14ac:dyDescent="0.25">
      <c r="A4" s="1" t="s">
        <v>1</v>
      </c>
      <c r="B4" s="2" t="s">
        <v>2</v>
      </c>
      <c r="C4" s="2" t="s">
        <v>19</v>
      </c>
      <c r="D4" s="2" t="s">
        <v>20</v>
      </c>
      <c r="E4" s="2" t="s">
        <v>44</v>
      </c>
      <c r="F4" s="3" t="s">
        <v>4</v>
      </c>
      <c r="G4" s="41" t="s">
        <v>5</v>
      </c>
      <c r="H4" s="3" t="s">
        <v>37</v>
      </c>
      <c r="I4" s="50" t="s">
        <v>39</v>
      </c>
      <c r="J4" s="50" t="s">
        <v>41</v>
      </c>
      <c r="K4" s="50" t="s">
        <v>38</v>
      </c>
      <c r="L4" s="3" t="s">
        <v>42</v>
      </c>
      <c r="M4" s="3" t="s">
        <v>40</v>
      </c>
      <c r="N4" s="50" t="s">
        <v>43</v>
      </c>
    </row>
    <row r="5" spans="1:14" x14ac:dyDescent="0.25">
      <c r="A5" s="22">
        <v>8</v>
      </c>
      <c r="B5" s="42">
        <v>0.152002</v>
      </c>
      <c r="C5" s="13">
        <v>23.488499999999998</v>
      </c>
      <c r="D5" s="13">
        <v>9.8699999999999992</v>
      </c>
      <c r="E5" s="13">
        <f>C5-D5</f>
        <v>13.618499999999999</v>
      </c>
      <c r="F5" s="29">
        <v>1.5640000000000001</v>
      </c>
      <c r="G5" s="25"/>
      <c r="H5">
        <v>1.5300200000000001E-4</v>
      </c>
      <c r="I5">
        <v>-1.15449E-4</v>
      </c>
      <c r="J5">
        <f>-7.84644*10^-7</f>
        <v>-7.8464400000000002E-7</v>
      </c>
      <c r="K5">
        <f>7.84644*10^-7</f>
        <v>7.8464400000000002E-7</v>
      </c>
      <c r="L5">
        <v>-2.6845200000000002E-4</v>
      </c>
      <c r="M5">
        <v>-2.6845200000000002E-4</v>
      </c>
      <c r="N5">
        <v>0.99785299999999999</v>
      </c>
    </row>
    <row r="6" spans="1:14" x14ac:dyDescent="0.25">
      <c r="A6" s="22">
        <v>89</v>
      </c>
      <c r="B6" s="29">
        <v>0.16162799999999999</v>
      </c>
      <c r="C6" s="13">
        <v>22.7241</v>
      </c>
      <c r="D6" s="13">
        <v>9.5500000000000007</v>
      </c>
      <c r="E6" s="13">
        <f t="shared" ref="E6:E12" si="0">C6-D6</f>
        <v>13.174099999999999</v>
      </c>
      <c r="F6" s="29">
        <v>1.5629999999999999</v>
      </c>
      <c r="G6" s="25"/>
      <c r="H6">
        <v>1.60359E-4</v>
      </c>
      <c r="I6">
        <v>-1.0638500000000001E-4</v>
      </c>
      <c r="J6">
        <f>-8.29426*10^-7</f>
        <v>-8.2942599999999993E-7</v>
      </c>
      <c r="K6">
        <f>8.29426*10^-7</f>
        <v>8.2942599999999993E-7</v>
      </c>
      <c r="L6">
        <v>-2.66743E-4</v>
      </c>
      <c r="M6">
        <v>-2.66743E-4</v>
      </c>
      <c r="N6">
        <v>0.99817400000000001</v>
      </c>
    </row>
    <row r="7" spans="1:14" x14ac:dyDescent="0.25">
      <c r="A7" s="22">
        <v>178</v>
      </c>
      <c r="B7" s="42">
        <v>0.162606</v>
      </c>
      <c r="C7" s="13">
        <v>23.4541</v>
      </c>
      <c r="D7" s="13">
        <v>9.86</v>
      </c>
      <c r="E7" s="13">
        <f t="shared" si="0"/>
        <v>13.594100000000001</v>
      </c>
      <c r="F7" s="29">
        <v>1.5640000000000001</v>
      </c>
      <c r="G7" s="25"/>
      <c r="H7">
        <v>1.8026000000000001E-4</v>
      </c>
      <c r="I7">
        <v>-1.0505600000000001E-4</v>
      </c>
      <c r="J7">
        <f>-7.14004*10^-7</f>
        <v>-7.1400399999999997E-7</v>
      </c>
      <c r="K7">
        <f>7.14004*10^-7</f>
        <v>7.1400399999999997E-7</v>
      </c>
      <c r="L7">
        <v>-2.8531599999999998E-4</v>
      </c>
      <c r="M7">
        <v>-2.8531599999999998E-4</v>
      </c>
      <c r="N7">
        <v>0.99887300000000001</v>
      </c>
    </row>
    <row r="8" spans="1:14" x14ac:dyDescent="0.25">
      <c r="A8" s="22">
        <v>327</v>
      </c>
      <c r="B8" s="22">
        <v>0.14332900000000001</v>
      </c>
      <c r="C8" s="13">
        <v>23.542300000000001</v>
      </c>
      <c r="D8" s="13">
        <v>9.9</v>
      </c>
      <c r="E8" s="13">
        <f t="shared" si="0"/>
        <v>13.642300000000001</v>
      </c>
      <c r="F8" s="29">
        <v>1.5469999999999999</v>
      </c>
      <c r="G8" s="25"/>
      <c r="H8">
        <v>1.59758E-4</v>
      </c>
      <c r="I8">
        <v>-1.17966E-4</v>
      </c>
      <c r="J8">
        <f>-2.80769*10^-6</f>
        <v>-2.80769E-6</v>
      </c>
      <c r="K8">
        <f>2.80769*10^-6</f>
        <v>2.80769E-6</v>
      </c>
      <c r="L8">
        <v>-2.7772400000000003E-4</v>
      </c>
      <c r="M8">
        <v>-2.7772400000000003E-4</v>
      </c>
      <c r="N8">
        <v>0.99734</v>
      </c>
    </row>
    <row r="9" spans="1:14" x14ac:dyDescent="0.25">
      <c r="A9" s="22">
        <v>429</v>
      </c>
      <c r="B9" s="22">
        <v>0.148092</v>
      </c>
      <c r="C9" s="13">
        <v>23.583200000000001</v>
      </c>
      <c r="D9" s="13">
        <v>9.91</v>
      </c>
      <c r="E9" s="13">
        <f t="shared" si="0"/>
        <v>13.673200000000001</v>
      </c>
      <c r="F9" s="29">
        <v>1.5580000000000001</v>
      </c>
      <c r="G9" s="25"/>
      <c r="H9">
        <v>1.5453600000000001E-4</v>
      </c>
      <c r="I9">
        <v>-1.1757299999999999E-4</v>
      </c>
      <c r="J9">
        <f>-1.50458*10^-6</f>
        <v>-1.50458E-6</v>
      </c>
      <c r="K9">
        <f>1.50458*10^-6</f>
        <v>1.50458E-6</v>
      </c>
      <c r="L9">
        <v>-2.7210899999999998E-4</v>
      </c>
      <c r="M9">
        <v>-2.7210899999999998E-4</v>
      </c>
      <c r="N9">
        <v>0.99772899999999998</v>
      </c>
    </row>
    <row r="10" spans="1:14" x14ac:dyDescent="0.25">
      <c r="A10" s="22">
        <v>563</v>
      </c>
      <c r="B10" s="25">
        <v>0.15032799999999999</v>
      </c>
      <c r="C10" s="13">
        <v>22.7241</v>
      </c>
      <c r="D10" s="13">
        <v>9.5500000000000007</v>
      </c>
      <c r="E10" s="13">
        <f t="shared" si="0"/>
        <v>13.174099999999999</v>
      </c>
      <c r="F10" s="29">
        <v>1.5640000000000001</v>
      </c>
      <c r="G10" s="25"/>
      <c r="H10">
        <v>1.2970599999999999E-4</v>
      </c>
      <c r="I10">
        <v>-1.2211200000000001E-4</v>
      </c>
      <c r="J10">
        <f>-8.29928*10^-7</f>
        <v>-8.2992799999999991E-7</v>
      </c>
      <c r="K10">
        <f>8.29928*10^-7</f>
        <v>8.2992799999999991E-7</v>
      </c>
      <c r="L10">
        <v>-2.5181900000000002E-4</v>
      </c>
      <c r="M10">
        <v>-2.5181900000000002E-4</v>
      </c>
      <c r="N10">
        <v>0.99646999999999997</v>
      </c>
    </row>
    <row r="11" spans="1:14" x14ac:dyDescent="0.25">
      <c r="A11" s="22">
        <v>653</v>
      </c>
      <c r="B11" s="25">
        <v>0.143035</v>
      </c>
      <c r="C11" s="13">
        <v>23.535699999999999</v>
      </c>
      <c r="D11" s="29">
        <v>9.89</v>
      </c>
      <c r="E11" s="13">
        <f t="shared" si="0"/>
        <v>13.645699999999998</v>
      </c>
      <c r="F11" s="24">
        <v>1.554</v>
      </c>
      <c r="G11" s="25"/>
      <c r="H11">
        <v>1.4627100000000001E-4</v>
      </c>
      <c r="I11">
        <v>-1.23449E-4</v>
      </c>
      <c r="J11">
        <f>-2.07369*10^-6</f>
        <v>-2.0736899999999999E-6</v>
      </c>
      <c r="K11">
        <f>2.07369*10^-6</f>
        <v>2.0736899999999999E-6</v>
      </c>
      <c r="L11">
        <v>-2.6971999999999999E-4</v>
      </c>
      <c r="M11">
        <v>-2.6971999999999999E-4</v>
      </c>
      <c r="N11">
        <v>0.99734999999999996</v>
      </c>
    </row>
    <row r="12" spans="1:14" ht="15.75" thickBot="1" x14ac:dyDescent="0.3">
      <c r="A12" s="22">
        <v>709</v>
      </c>
      <c r="B12" s="25">
        <v>0.15438399999999999</v>
      </c>
      <c r="C12" s="13">
        <v>23.535699999999999</v>
      </c>
      <c r="D12" s="29">
        <v>9.89</v>
      </c>
      <c r="E12" s="13">
        <f t="shared" si="0"/>
        <v>13.645699999999998</v>
      </c>
      <c r="F12" s="24">
        <v>1.5640000000000001</v>
      </c>
      <c r="G12" s="58"/>
      <c r="H12">
        <v>1.6054700000000001E-4</v>
      </c>
      <c r="I12">
        <v>-1.1228199999999999E-4</v>
      </c>
      <c r="J12">
        <f>-7.63118*10^-7</f>
        <v>-7.6311799999999991E-7</v>
      </c>
      <c r="K12">
        <f>7.63118*10^-7</f>
        <v>7.6311799999999991E-7</v>
      </c>
      <c r="L12">
        <v>-2.7282899999999999E-4</v>
      </c>
      <c r="M12">
        <v>-2.7282899999999999E-4</v>
      </c>
      <c r="N12">
        <v>0.99801499999999999</v>
      </c>
    </row>
    <row r="13" spans="1:14" x14ac:dyDescent="0.25">
      <c r="A13" s="43" t="s">
        <v>6</v>
      </c>
      <c r="B13">
        <f>AVERAGE(B5:B12)</f>
        <v>0.15192550000000002</v>
      </c>
      <c r="C13">
        <f t="shared" ref="C13:D13" si="1">AVERAGE(C5:C12)</f>
        <v>23.323462499999998</v>
      </c>
      <c r="D13">
        <f t="shared" si="1"/>
        <v>9.8025000000000002</v>
      </c>
      <c r="E13" s="39">
        <f>AVERAGE(E5:E12)</f>
        <v>13.5209625</v>
      </c>
      <c r="F13">
        <f>AVERAGE(F5:F12)</f>
        <v>1.55975</v>
      </c>
      <c r="G13" s="59" t="s">
        <v>54</v>
      </c>
      <c r="H13" s="39">
        <f>-AVERAGE(H5:H12)</f>
        <v>-1.55554875E-4</v>
      </c>
      <c r="I13" s="39">
        <f>-AVERAGE(I5:I12)</f>
        <v>1.1503400000000001E-4</v>
      </c>
      <c r="J13" s="39">
        <f t="shared" ref="J13:N13" si="2">AVERAGE(J5:J12)</f>
        <v>-1.288385E-6</v>
      </c>
      <c r="K13" s="39">
        <f t="shared" si="2"/>
        <v>1.288385E-6</v>
      </c>
      <c r="L13" s="39">
        <f t="shared" si="2"/>
        <v>-2.7058899999999995E-4</v>
      </c>
      <c r="M13" s="39">
        <f t="shared" si="2"/>
        <v>-2.7058899999999995E-4</v>
      </c>
      <c r="N13" s="60">
        <f t="shared" si="2"/>
        <v>0.99772549999999982</v>
      </c>
    </row>
    <row r="14" spans="1:14" ht="15.75" thickBot="1" x14ac:dyDescent="0.3">
      <c r="A14" s="45" t="s">
        <v>7</v>
      </c>
      <c r="B14">
        <f t="shared" ref="B14:D14" si="3">_xlfn.STDEV.P(B5:B12)</f>
        <v>6.9322632667837975E-3</v>
      </c>
      <c r="C14">
        <f t="shared" si="3"/>
        <v>0.34788957995856956</v>
      </c>
      <c r="D14">
        <f t="shared" si="3"/>
        <v>0.14652218262092578</v>
      </c>
      <c r="E14" s="19">
        <f>_xlfn.STDEV.P(E5:E12)</f>
        <v>0.2014037545423373</v>
      </c>
      <c r="F14">
        <f>_xlfn.STDEV.P(F5:F12)</f>
        <v>5.9319052588523626E-3</v>
      </c>
      <c r="G14" s="61" t="s">
        <v>53</v>
      </c>
      <c r="H14" s="19">
        <f>_xlfn.STDEV.P(H5:H12)</f>
        <v>1.3406716324640239E-5</v>
      </c>
      <c r="I14" s="19">
        <f t="shared" ref="I14:N14" si="4">_xlfn.STDEV.P(I5:I12)</f>
        <v>6.3054031195475524E-6</v>
      </c>
      <c r="J14" s="19">
        <f t="shared" si="4"/>
        <v>7.2905178469502414E-7</v>
      </c>
      <c r="K14" s="19">
        <f t="shared" si="4"/>
        <v>7.2905178469502414E-7</v>
      </c>
      <c r="L14" s="19">
        <f t="shared" si="4"/>
        <v>8.9968557007434442E-6</v>
      </c>
      <c r="M14" s="19">
        <f t="shared" si="4"/>
        <v>8.9968557007434442E-6</v>
      </c>
      <c r="N14" s="62">
        <f t="shared" si="4"/>
        <v>6.5991268361808013E-4</v>
      </c>
    </row>
    <row r="15" spans="1:14" x14ac:dyDescent="0.25">
      <c r="A15" s="45" t="s">
        <v>8</v>
      </c>
      <c r="B15" s="12">
        <f>B13+B14</f>
        <v>0.1588577632667838</v>
      </c>
      <c r="C15" s="42"/>
      <c r="D15" s="42"/>
      <c r="E15" s="42"/>
      <c r="F15" s="42"/>
      <c r="G15" s="42"/>
    </row>
    <row r="16" spans="1:14" ht="15.75" thickBot="1" x14ac:dyDescent="0.3">
      <c r="A16" s="46" t="s">
        <v>9</v>
      </c>
      <c r="B16" s="47">
        <f>B13-B14</f>
        <v>0.14499323673321624</v>
      </c>
      <c r="C16" s="42"/>
      <c r="D16" s="42"/>
      <c r="E16" s="42"/>
      <c r="F16" s="42"/>
      <c r="G16" s="42"/>
    </row>
  </sheetData>
  <mergeCells count="1"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3:N18"/>
  <sheetViews>
    <sheetView workbookViewId="0">
      <selection activeCell="E24" sqref="E24"/>
    </sheetView>
  </sheetViews>
  <sheetFormatPr defaultRowHeight="15" x14ac:dyDescent="0.25"/>
  <cols>
    <col min="8" max="10" width="12" bestFit="1" customWidth="1"/>
    <col min="11" max="11" width="12.7109375" bestFit="1" customWidth="1"/>
  </cols>
  <sheetData>
    <row r="3" spans="1:14" ht="15.75" thickBot="1" x14ac:dyDescent="0.3"/>
    <row r="4" spans="1:14" x14ac:dyDescent="0.25">
      <c r="A4" s="215" t="s">
        <v>32</v>
      </c>
      <c r="B4" s="216"/>
      <c r="C4" s="216"/>
      <c r="D4" s="216"/>
      <c r="E4" s="216"/>
      <c r="F4" s="217"/>
      <c r="G4" s="40"/>
    </row>
    <row r="5" spans="1:14" ht="45" x14ac:dyDescent="0.25">
      <c r="A5" s="1" t="s">
        <v>1</v>
      </c>
      <c r="B5" s="2" t="s">
        <v>2</v>
      </c>
      <c r="C5" s="2" t="s">
        <v>19</v>
      </c>
      <c r="D5" s="2" t="s">
        <v>20</v>
      </c>
      <c r="E5" s="2" t="s">
        <v>44</v>
      </c>
      <c r="F5" s="3" t="s">
        <v>4</v>
      </c>
      <c r="G5" s="41" t="s">
        <v>5</v>
      </c>
      <c r="H5" s="3" t="s">
        <v>37</v>
      </c>
      <c r="I5" s="50" t="s">
        <v>39</v>
      </c>
      <c r="J5" s="50" t="s">
        <v>41</v>
      </c>
      <c r="K5" s="50" t="s">
        <v>38</v>
      </c>
      <c r="L5" s="3" t="s">
        <v>42</v>
      </c>
      <c r="M5" s="3" t="s">
        <v>40</v>
      </c>
      <c r="N5" s="50" t="s">
        <v>43</v>
      </c>
    </row>
    <row r="6" spans="1:14" x14ac:dyDescent="0.25">
      <c r="A6" s="22">
        <v>17</v>
      </c>
      <c r="B6" s="42">
        <v>0.141874</v>
      </c>
      <c r="C6" s="13">
        <v>27.001799999999999</v>
      </c>
      <c r="D6" s="13">
        <v>18.920000000000002</v>
      </c>
      <c r="E6" s="13">
        <f>C6-D6</f>
        <v>8.0817999999999977</v>
      </c>
      <c r="F6" s="29">
        <v>1.5529999999999999</v>
      </c>
      <c r="G6" s="25"/>
      <c r="H6">
        <v>1.3707199999999999E-4</v>
      </c>
      <c r="I6">
        <v>-6.3502600000000004E-5</v>
      </c>
      <c r="J6">
        <f>-1.13023*10^-6</f>
        <v>-1.13023E-6</v>
      </c>
      <c r="K6">
        <f>1.13023*10^-6</f>
        <v>1.13023E-6</v>
      </c>
      <c r="L6">
        <v>-2.0057500000000001E-4</v>
      </c>
      <c r="M6">
        <v>-2.0057500000000001E-4</v>
      </c>
      <c r="N6">
        <v>0.99180299999999999</v>
      </c>
    </row>
    <row r="7" spans="1:14" x14ac:dyDescent="0.25">
      <c r="A7" s="22">
        <v>42</v>
      </c>
      <c r="B7" s="29">
        <v>0.177729</v>
      </c>
      <c r="C7" s="13">
        <v>23.884599999999999</v>
      </c>
      <c r="D7" s="13">
        <v>16.73</v>
      </c>
      <c r="E7" s="13">
        <f t="shared" ref="E7:E14" si="0">C7-D7</f>
        <v>7.1545999999999985</v>
      </c>
      <c r="F7" s="29">
        <v>1.5640000000000001</v>
      </c>
      <c r="G7" s="25"/>
      <c r="H7">
        <v>1.3116500000000001E-4</v>
      </c>
      <c r="I7">
        <v>-4.77431E-5</v>
      </c>
      <c r="J7">
        <f>-3.24483*10^-7</f>
        <v>-3.2448299999999998E-7</v>
      </c>
      <c r="K7">
        <f>3.24483*10^-7</f>
        <v>3.2448299999999998E-7</v>
      </c>
      <c r="L7">
        <v>-1.78908E-4</v>
      </c>
      <c r="M7">
        <v>-1.78908E-4</v>
      </c>
      <c r="N7">
        <v>0.99555400000000005</v>
      </c>
    </row>
    <row r="8" spans="1:14" x14ac:dyDescent="0.25">
      <c r="A8" s="22">
        <v>121</v>
      </c>
      <c r="B8" s="42">
        <v>0.183195</v>
      </c>
      <c r="C8" s="13">
        <v>23.912199999999999</v>
      </c>
      <c r="D8" s="13">
        <v>16.77</v>
      </c>
      <c r="E8" s="13">
        <f t="shared" si="0"/>
        <v>7.142199999999999</v>
      </c>
      <c r="F8" s="29">
        <v>1.5609999999999999</v>
      </c>
      <c r="G8" s="25"/>
      <c r="H8">
        <v>1.38133E-4</v>
      </c>
      <c r="I8">
        <v>-4.2624099999999997E-5</v>
      </c>
      <c r="J8">
        <f>-4.17573*10^-7</f>
        <v>-4.1757299999999998E-7</v>
      </c>
      <c r="K8">
        <f>4.17573*10^-7</f>
        <v>4.1757299999999998E-7</v>
      </c>
      <c r="L8">
        <v>-1.80757E-4</v>
      </c>
      <c r="M8">
        <v>-1.80757E-4</v>
      </c>
      <c r="N8">
        <v>0.99596499999999999</v>
      </c>
    </row>
    <row r="9" spans="1:14" x14ac:dyDescent="0.25">
      <c r="A9" s="22">
        <v>209</v>
      </c>
      <c r="B9" s="22">
        <v>0.158721</v>
      </c>
      <c r="C9" s="13">
        <v>26.882100000000001</v>
      </c>
      <c r="D9" s="13">
        <v>18.84</v>
      </c>
      <c r="E9" s="13">
        <f t="shared" si="0"/>
        <v>8.0421000000000014</v>
      </c>
      <c r="F9" s="29">
        <v>1.5609999999999999</v>
      </c>
      <c r="G9" s="25"/>
      <c r="H9">
        <v>1.5135800000000001E-4</v>
      </c>
      <c r="I9">
        <v>-5.0921699999999997E-5</v>
      </c>
      <c r="J9">
        <f>-4.98861*10^-7</f>
        <v>-4.9886099999999998E-7</v>
      </c>
      <c r="K9">
        <f>4.98861*10^-7</f>
        <v>4.9886099999999998E-7</v>
      </c>
      <c r="L9">
        <v>-2.0227999999999999E-4</v>
      </c>
      <c r="M9">
        <v>-2.0227999999999999E-4</v>
      </c>
      <c r="N9">
        <v>0.99188100000000001</v>
      </c>
    </row>
    <row r="10" spans="1:14" x14ac:dyDescent="0.25">
      <c r="A10" s="22">
        <v>261</v>
      </c>
      <c r="B10" s="22">
        <v>0.167875</v>
      </c>
      <c r="C10" s="13">
        <v>27</v>
      </c>
      <c r="D10" s="13">
        <v>18.91</v>
      </c>
      <c r="E10" s="13">
        <f t="shared" si="0"/>
        <v>8.09</v>
      </c>
      <c r="F10" s="29">
        <v>1.5669999999999999</v>
      </c>
      <c r="G10" s="25"/>
      <c r="H10">
        <v>1.5952100000000001E-4</v>
      </c>
      <c r="I10">
        <v>-4.62903E-5</v>
      </c>
      <c r="J10">
        <f>-1.75734*10^-7</f>
        <v>-1.7573399999999998E-7</v>
      </c>
      <c r="K10">
        <f>1.75734*10^-7</f>
        <v>1.7573399999999998E-7</v>
      </c>
      <c r="L10">
        <v>-2.05811E-4</v>
      </c>
      <c r="M10">
        <v>-2.05811E-4</v>
      </c>
      <c r="N10">
        <v>0.99319100000000005</v>
      </c>
    </row>
    <row r="11" spans="1:14" x14ac:dyDescent="0.25">
      <c r="A11" s="22">
        <v>335</v>
      </c>
      <c r="B11" s="25">
        <v>0.153751</v>
      </c>
      <c r="C11" s="13">
        <v>28.2273</v>
      </c>
      <c r="D11" s="13">
        <v>19.77</v>
      </c>
      <c r="E11" s="13">
        <f t="shared" si="0"/>
        <v>8.4573</v>
      </c>
      <c r="F11" s="29">
        <v>1.5680000000000001</v>
      </c>
      <c r="G11" s="25"/>
      <c r="H11">
        <v>1.5727199999999999E-4</v>
      </c>
      <c r="I11">
        <v>-5.47057E-5</v>
      </c>
      <c r="J11">
        <f>-1.52975*10^-7</f>
        <v>-1.5297499999999998E-7</v>
      </c>
      <c r="K11">
        <f>1.52975*10^-7</f>
        <v>1.5297499999999998E-7</v>
      </c>
      <c r="L11">
        <v>-2.1197800000000001E-4</v>
      </c>
      <c r="M11">
        <v>-2.1197800000000001E-4</v>
      </c>
      <c r="N11">
        <v>0.99143400000000004</v>
      </c>
    </row>
    <row r="12" spans="1:14" x14ac:dyDescent="0.25">
      <c r="A12" s="22">
        <v>418</v>
      </c>
      <c r="B12" s="25">
        <v>0.152947</v>
      </c>
      <c r="C12" s="13">
        <v>28.229600000000001</v>
      </c>
      <c r="D12" s="29">
        <v>19.78</v>
      </c>
      <c r="E12" s="13">
        <f t="shared" si="0"/>
        <v>8.4496000000000002</v>
      </c>
      <c r="F12" s="24">
        <v>1.5640000000000001</v>
      </c>
      <c r="G12" s="25"/>
      <c r="H12">
        <v>1.59321E-4</v>
      </c>
      <c r="I12">
        <v>-5.3223500000000003E-5</v>
      </c>
      <c r="J12">
        <f>-3.6173*10^-7</f>
        <v>-3.6173E-7</v>
      </c>
      <c r="K12">
        <f>3.6173*10^-7</f>
        <v>3.6173E-7</v>
      </c>
      <c r="L12">
        <v>-2.1254499999999999E-4</v>
      </c>
      <c r="M12">
        <v>-2.1254499999999999E-4</v>
      </c>
      <c r="N12">
        <v>0.99072199999999999</v>
      </c>
    </row>
    <row r="13" spans="1:14" x14ac:dyDescent="0.25">
      <c r="A13" s="22">
        <v>472</v>
      </c>
      <c r="B13" s="25">
        <v>0.158413</v>
      </c>
      <c r="C13" s="13">
        <v>32.661900000000003</v>
      </c>
      <c r="D13" s="29">
        <v>22.89</v>
      </c>
      <c r="E13" s="13">
        <f t="shared" si="0"/>
        <v>9.7719000000000023</v>
      </c>
      <c r="F13" s="24">
        <v>1.571</v>
      </c>
      <c r="G13" s="25"/>
      <c r="H13">
        <v>2.20528E-4</v>
      </c>
      <c r="I13">
        <v>-4.34659E-5</v>
      </c>
      <c r="J13">
        <f>8.85284*10^-9</f>
        <v>8.8528400000000002E-9</v>
      </c>
      <c r="K13">
        <f>-8.85284*10^-9</f>
        <v>-8.8528400000000002E-9</v>
      </c>
      <c r="L13">
        <v>-2.6399399999999998E-4</v>
      </c>
      <c r="M13">
        <v>-2.6399399999999998E-4</v>
      </c>
      <c r="N13">
        <v>0.99523899999999998</v>
      </c>
    </row>
    <row r="14" spans="1:14" ht="15.75" thickBot="1" x14ac:dyDescent="0.3">
      <c r="A14" s="22">
        <v>534</v>
      </c>
      <c r="B14" s="25">
        <v>0.154502</v>
      </c>
      <c r="C14" s="13">
        <v>24.796299999999999</v>
      </c>
      <c r="D14" s="29">
        <v>17.38</v>
      </c>
      <c r="E14" s="13">
        <f t="shared" si="0"/>
        <v>7.4162999999999997</v>
      </c>
      <c r="F14" s="24">
        <v>1.556</v>
      </c>
      <c r="G14" s="58"/>
      <c r="H14">
        <v>1.21631E-4</v>
      </c>
      <c r="I14">
        <v>-6.1543800000000005E-5</v>
      </c>
      <c r="J14">
        <f>-9.10689*10^-7</f>
        <v>-9.1068899999999993E-7</v>
      </c>
      <c r="K14">
        <f>9.10689*10^-7</f>
        <v>9.1068899999999993E-7</v>
      </c>
      <c r="L14">
        <v>-1.8317499999999999E-4</v>
      </c>
      <c r="M14">
        <v>-1.8317499999999999E-4</v>
      </c>
      <c r="N14">
        <v>0.99446000000000001</v>
      </c>
    </row>
    <row r="15" spans="1:14" x14ac:dyDescent="0.25">
      <c r="A15" s="43" t="s">
        <v>6</v>
      </c>
      <c r="B15" s="39">
        <f>AVERAGE(B6:B14)</f>
        <v>0.16100077777777774</v>
      </c>
      <c r="C15" s="39">
        <f t="shared" ref="C15:D15" si="1">AVERAGE(C6:C14)</f>
        <v>26.955088888888891</v>
      </c>
      <c r="D15" s="39">
        <f t="shared" si="1"/>
        <v>18.887777777777778</v>
      </c>
      <c r="E15" s="39">
        <f>AVERAGE(E6:E14)</f>
        <v>8.0673111111111133</v>
      </c>
      <c r="F15" s="39">
        <f>AVERAGE(F6:F14)</f>
        <v>1.5627777777777778</v>
      </c>
      <c r="G15" s="59" t="s">
        <v>52</v>
      </c>
      <c r="H15" s="39">
        <f>-AVERAGE(H6:H14)</f>
        <v>-1.5288899999999999E-4</v>
      </c>
      <c r="I15" s="39">
        <f>-AVERAGE(I6:I14)</f>
        <v>5.1557855555555554E-5</v>
      </c>
      <c r="J15" s="39">
        <f t="shared" ref="J15:N15" si="2">AVERAGE(J6:J14)</f>
        <v>-4.4038023999999989E-7</v>
      </c>
      <c r="K15" s="39">
        <f t="shared" si="2"/>
        <v>4.4038023999999989E-7</v>
      </c>
      <c r="L15" s="39">
        <f t="shared" si="2"/>
        <v>-2.0444700000000002E-4</v>
      </c>
      <c r="M15" s="39">
        <f t="shared" si="2"/>
        <v>-2.0444700000000002E-4</v>
      </c>
      <c r="N15" s="60">
        <f t="shared" si="2"/>
        <v>0.99336099999999994</v>
      </c>
    </row>
    <row r="16" spans="1:14" ht="15.75" thickBot="1" x14ac:dyDescent="0.3">
      <c r="A16" s="45" t="s">
        <v>7</v>
      </c>
      <c r="B16" s="19">
        <f t="shared" ref="B16:D16" si="3">_xlfn.STDEV.P(B6:B14)</f>
        <v>1.2279414506289945E-2</v>
      </c>
      <c r="C16" s="19">
        <f t="shared" si="3"/>
        <v>2.5640151526872619</v>
      </c>
      <c r="D16" s="19">
        <f t="shared" si="3"/>
        <v>1.7953754035037279</v>
      </c>
      <c r="E16" s="19">
        <f>_xlfn.STDEV.P(E6:E14)</f>
        <v>0.76868627677275914</v>
      </c>
      <c r="F16" s="19">
        <f>_xlfn.STDEV.P(F6:F14)</f>
        <v>5.4114647386159717E-3</v>
      </c>
      <c r="G16" s="61" t="s">
        <v>53</v>
      </c>
      <c r="H16" s="19">
        <f>_xlfn.STDEV.P(H6:H14)</f>
        <v>2.7077778474444892E-5</v>
      </c>
      <c r="I16" s="19">
        <f t="shared" ref="I16:N16" si="4">_xlfn.STDEV.P(I6:I14)</f>
        <v>7.0164507548904311E-6</v>
      </c>
      <c r="J16" s="19">
        <f t="shared" si="4"/>
        <v>3.4562198129281636E-7</v>
      </c>
      <c r="K16" s="19">
        <f t="shared" si="4"/>
        <v>3.4562198129281636E-7</v>
      </c>
      <c r="L16" s="19">
        <f t="shared" si="4"/>
        <v>2.4394084319313515E-5</v>
      </c>
      <c r="M16" s="19">
        <f t="shared" si="4"/>
        <v>2.4394084319313515E-5</v>
      </c>
      <c r="N16" s="62">
        <f t="shared" si="4"/>
        <v>1.8752500277740747E-3</v>
      </c>
    </row>
    <row r="17" spans="1:7" x14ac:dyDescent="0.25">
      <c r="A17" s="45" t="s">
        <v>8</v>
      </c>
      <c r="B17" s="12">
        <f>B15+B16</f>
        <v>0.17328019228406769</v>
      </c>
      <c r="C17" s="42"/>
      <c r="D17" s="42"/>
      <c r="E17" s="42"/>
      <c r="F17" s="42"/>
      <c r="G17" s="42"/>
    </row>
    <row r="18" spans="1:7" ht="15.75" thickBot="1" x14ac:dyDescent="0.3">
      <c r="A18" s="46" t="s">
        <v>9</v>
      </c>
      <c r="B18" s="47">
        <f>B15-B16</f>
        <v>0.1487213632714878</v>
      </c>
      <c r="C18" s="42"/>
      <c r="D18" s="42"/>
      <c r="E18" s="42"/>
      <c r="F18" s="42"/>
      <c r="G18" s="42"/>
    </row>
  </sheetData>
  <mergeCells count="1">
    <mergeCell ref="A4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N14"/>
  <sheetViews>
    <sheetView workbookViewId="0">
      <selection activeCell="E20" sqref="E20"/>
    </sheetView>
  </sheetViews>
  <sheetFormatPr defaultRowHeight="15" x14ac:dyDescent="0.25"/>
  <cols>
    <col min="7" max="7" width="14.7109375" bestFit="1" customWidth="1"/>
    <col min="8" max="8" width="12.7109375" bestFit="1" customWidth="1"/>
    <col min="10" max="10" width="12.7109375" bestFit="1" customWidth="1"/>
    <col min="11" max="11" width="12" bestFit="1" customWidth="1"/>
  </cols>
  <sheetData>
    <row r="1" spans="1:14" ht="15.75" thickBot="1" x14ac:dyDescent="0.3"/>
    <row r="2" spans="1:14" x14ac:dyDescent="0.25">
      <c r="A2" s="215" t="s">
        <v>33</v>
      </c>
      <c r="B2" s="216"/>
      <c r="C2" s="216"/>
      <c r="D2" s="216"/>
      <c r="E2" s="216"/>
      <c r="F2" s="217"/>
      <c r="G2" s="40"/>
    </row>
    <row r="3" spans="1:14" ht="45" x14ac:dyDescent="0.25">
      <c r="A3" s="1" t="s">
        <v>1</v>
      </c>
      <c r="B3" s="2" t="s">
        <v>2</v>
      </c>
      <c r="C3" s="2" t="s">
        <v>19</v>
      </c>
      <c r="D3" s="2" t="s">
        <v>20</v>
      </c>
      <c r="E3" s="2" t="s">
        <v>44</v>
      </c>
      <c r="F3" s="3" t="s">
        <v>4</v>
      </c>
      <c r="G3" s="41" t="s">
        <v>5</v>
      </c>
      <c r="H3" s="3" t="s">
        <v>37</v>
      </c>
      <c r="I3" s="50" t="s">
        <v>39</v>
      </c>
      <c r="J3" s="50" t="s">
        <v>41</v>
      </c>
      <c r="K3" s="50" t="s">
        <v>38</v>
      </c>
      <c r="L3" s="3" t="s">
        <v>42</v>
      </c>
      <c r="M3" s="3" t="s">
        <v>40</v>
      </c>
      <c r="N3" s="50" t="s">
        <v>43</v>
      </c>
    </row>
    <row r="4" spans="1:14" x14ac:dyDescent="0.25">
      <c r="A4" s="22">
        <v>344</v>
      </c>
      <c r="B4" s="42">
        <v>0.156108</v>
      </c>
      <c r="C4" s="13">
        <v>23.6142</v>
      </c>
      <c r="D4" s="13">
        <v>11.53</v>
      </c>
      <c r="E4" s="13">
        <f>C4-D4</f>
        <v>12.084200000000001</v>
      </c>
      <c r="F4" s="29">
        <v>1.5469999999999999</v>
      </c>
      <c r="G4" s="25"/>
      <c r="H4">
        <v>1.4505E-4</v>
      </c>
      <c r="I4">
        <v>-1.06902E-4</v>
      </c>
      <c r="J4">
        <f>3.42479*10^-7</f>
        <v>3.4247899999999995E-7</v>
      </c>
      <c r="K4">
        <f>-3.42479*10^-7</f>
        <v>-3.4247899999999995E-7</v>
      </c>
      <c r="L4">
        <v>-2.51952E-4</v>
      </c>
      <c r="M4">
        <v>-2.51952E-4</v>
      </c>
      <c r="N4">
        <v>0.99728600000000001</v>
      </c>
    </row>
    <row r="5" spans="1:14" x14ac:dyDescent="0.25">
      <c r="A5" s="22">
        <v>429</v>
      </c>
      <c r="B5" s="29">
        <v>0.13208400000000001</v>
      </c>
      <c r="C5" s="13">
        <v>20.3889</v>
      </c>
      <c r="D5" s="13">
        <v>9.94</v>
      </c>
      <c r="E5" s="13">
        <f t="shared" ref="E5:E10" si="0">C5-D5</f>
        <v>10.4489</v>
      </c>
      <c r="F5" s="29">
        <v>1.575</v>
      </c>
      <c r="G5" s="25" t="s">
        <v>55</v>
      </c>
      <c r="H5" s="8">
        <v>-4.0138300000000002E-5</v>
      </c>
      <c r="I5">
        <v>-2.3562E-4</v>
      </c>
      <c r="J5">
        <f>9.90477*10^-7</f>
        <v>9.9047699999999988E-7</v>
      </c>
      <c r="K5">
        <f>-9.90477*10^-7</f>
        <v>-9.9047699999999988E-7</v>
      </c>
      <c r="L5">
        <v>-1.95482E-4</v>
      </c>
      <c r="M5">
        <v>-1.95482E-4</v>
      </c>
      <c r="N5">
        <v>0.99701600000000001</v>
      </c>
    </row>
    <row r="6" spans="1:14" x14ac:dyDescent="0.25">
      <c r="A6" s="22">
        <v>601</v>
      </c>
      <c r="B6" s="42">
        <v>0.15350800000000001</v>
      </c>
      <c r="C6" s="13">
        <v>22.2121</v>
      </c>
      <c r="D6" s="13">
        <v>10.85</v>
      </c>
      <c r="E6" s="13">
        <f t="shared" si="0"/>
        <v>11.3621</v>
      </c>
      <c r="F6" s="29">
        <v>1.571</v>
      </c>
      <c r="G6" s="25"/>
      <c r="H6">
        <v>1.10244E-4</v>
      </c>
      <c r="I6">
        <v>-1.1901899999999999E-4</v>
      </c>
      <c r="J6">
        <f>2.42409*10^-8</f>
        <v>2.42409E-8</v>
      </c>
      <c r="K6">
        <f>-2.42409*10^-8</f>
        <v>-2.42409E-8</v>
      </c>
      <c r="L6">
        <v>-2.29263E-4</v>
      </c>
      <c r="M6">
        <v>-2.29263E-4</v>
      </c>
      <c r="N6">
        <v>0.99663900000000005</v>
      </c>
    </row>
    <row r="7" spans="1:14" x14ac:dyDescent="0.25">
      <c r="A7" s="22">
        <v>730</v>
      </c>
      <c r="B7" s="22">
        <v>0.12518399999999999</v>
      </c>
      <c r="C7" s="13">
        <v>23.708500000000001</v>
      </c>
      <c r="D7" s="13">
        <v>11.57</v>
      </c>
      <c r="E7" s="13">
        <f t="shared" si="0"/>
        <v>12.138500000000001</v>
      </c>
      <c r="F7" s="29">
        <v>1.5680000000000001</v>
      </c>
      <c r="G7" s="25"/>
      <c r="H7">
        <v>4.9657999999999998E-5</v>
      </c>
      <c r="I7">
        <v>-1.8647E-4</v>
      </c>
      <c r="J7">
        <f>-5.21432*10^-7</f>
        <v>-5.2143199999999993E-7</v>
      </c>
      <c r="K7">
        <f>5.21432*10^-7</f>
        <v>5.2143199999999993E-7</v>
      </c>
      <c r="L7">
        <v>-2.36128E-4</v>
      </c>
      <c r="M7">
        <v>-2.36128E-4</v>
      </c>
      <c r="N7">
        <v>0.99426999999999999</v>
      </c>
    </row>
    <row r="8" spans="1:14" x14ac:dyDescent="0.25">
      <c r="A8" s="22">
        <v>855</v>
      </c>
      <c r="B8" s="22">
        <v>0.131221</v>
      </c>
      <c r="C8" s="13">
        <v>22.906300000000002</v>
      </c>
      <c r="D8" s="13">
        <v>11.19</v>
      </c>
      <c r="E8" s="13">
        <f t="shared" si="0"/>
        <v>11.716300000000002</v>
      </c>
      <c r="F8" s="29">
        <v>1.577</v>
      </c>
      <c r="G8" s="25"/>
      <c r="H8">
        <v>3.6341000000000003E-5</v>
      </c>
      <c r="I8">
        <v>-1.8615799999999999E-4</v>
      </c>
      <c r="J8">
        <f>1.15488*10^-6</f>
        <v>1.1548799999999998E-6</v>
      </c>
      <c r="K8">
        <f>-1.15488*10^-6</f>
        <v>-1.1548799999999998E-6</v>
      </c>
      <c r="L8">
        <v>-2.22499E-4</v>
      </c>
      <c r="M8">
        <v>-2.22499E-4</v>
      </c>
      <c r="N8">
        <v>0.995506</v>
      </c>
    </row>
    <row r="9" spans="1:14" x14ac:dyDescent="0.25">
      <c r="A9" s="22">
        <v>938</v>
      </c>
      <c r="B9" s="25">
        <v>0.15399499999999999</v>
      </c>
      <c r="C9" s="13">
        <v>22.9375</v>
      </c>
      <c r="D9" s="13">
        <v>11.19</v>
      </c>
      <c r="E9" s="13">
        <f t="shared" si="0"/>
        <v>11.7475</v>
      </c>
      <c r="F9" s="29">
        <v>1.5660000000000001</v>
      </c>
      <c r="G9" s="25"/>
      <c r="H9">
        <v>1.35444E-4</v>
      </c>
      <c r="I9">
        <v>-1.09413E-4</v>
      </c>
      <c r="J9">
        <f>-5.24786*10^-7</f>
        <v>-5.2478599999999997E-7</v>
      </c>
      <c r="K9">
        <f>5.24786*10^-7</f>
        <v>5.2478599999999997E-7</v>
      </c>
      <c r="L9">
        <v>-2.4485700000000002E-4</v>
      </c>
      <c r="M9">
        <v>-2.4485700000000002E-4</v>
      </c>
      <c r="N9">
        <v>0.99577800000000005</v>
      </c>
    </row>
    <row r="10" spans="1:14" ht="15.75" thickBot="1" x14ac:dyDescent="0.3">
      <c r="A10" s="22">
        <v>1037</v>
      </c>
      <c r="B10" s="25">
        <v>0.11267000000000001</v>
      </c>
      <c r="C10" s="13">
        <v>29.4206</v>
      </c>
      <c r="D10" s="29">
        <v>14.37</v>
      </c>
      <c r="E10" s="13">
        <f t="shared" si="0"/>
        <v>15.050600000000001</v>
      </c>
      <c r="F10" s="24">
        <v>1.5629999999999999</v>
      </c>
      <c r="G10" s="58"/>
      <c r="H10">
        <v>1.51254E-4</v>
      </c>
      <c r="I10">
        <v>-1.5837100000000001E-4</v>
      </c>
      <c r="J10">
        <f>-1.23473*10^-6</f>
        <v>-1.23473E-6</v>
      </c>
      <c r="K10">
        <f>1.23473*10^-6</f>
        <v>1.23473E-6</v>
      </c>
      <c r="L10">
        <v>-3.0962399999999999E-4</v>
      </c>
      <c r="M10">
        <v>-3.0962399999999999E-4</v>
      </c>
      <c r="N10">
        <v>0.99416800000000005</v>
      </c>
    </row>
    <row r="11" spans="1:14" x14ac:dyDescent="0.25">
      <c r="A11" s="43" t="s">
        <v>6</v>
      </c>
      <c r="B11" s="39">
        <f t="shared" ref="B11:D11" si="1">AVERAGE(B4,B6:B10)</f>
        <v>0.13878100000000002</v>
      </c>
      <c r="C11" s="39">
        <f t="shared" si="1"/>
        <v>24.133200000000002</v>
      </c>
      <c r="D11" s="39">
        <f t="shared" si="1"/>
        <v>11.783333333333333</v>
      </c>
      <c r="E11" s="39">
        <f>AVERAGE(E4,E6:E10)</f>
        <v>12.349866666666669</v>
      </c>
      <c r="F11" s="39">
        <f>AVERAGE(F4,F6:F10)</f>
        <v>1.5653333333333332</v>
      </c>
      <c r="G11" s="59" t="s">
        <v>52</v>
      </c>
      <c r="H11" s="39">
        <f>-AVERAGE(H4,H6:H10)</f>
        <v>-1.0466516666666666E-4</v>
      </c>
      <c r="I11" s="39">
        <f>-AVERAGE(I4,I6:I10)</f>
        <v>1.4438883333333334E-4</v>
      </c>
      <c r="J11" s="39">
        <f t="shared" ref="J11:N11" si="2">AVERAGE(J4,J6:J10)</f>
        <v>-1.265580166666667E-7</v>
      </c>
      <c r="K11" s="39">
        <f t="shared" si="2"/>
        <v>1.265580166666667E-7</v>
      </c>
      <c r="L11" s="39">
        <f t="shared" si="2"/>
        <v>-2.4905383333333333E-4</v>
      </c>
      <c r="M11" s="39">
        <f t="shared" si="2"/>
        <v>-2.4905383333333333E-4</v>
      </c>
      <c r="N11" s="60">
        <f t="shared" si="2"/>
        <v>0.99560783333333325</v>
      </c>
    </row>
    <row r="12" spans="1:14" ht="15.75" thickBot="1" x14ac:dyDescent="0.3">
      <c r="A12" s="45" t="s">
        <v>7</v>
      </c>
      <c r="B12" s="19">
        <f t="shared" ref="B12:D12" si="3">_xlfn.STDEV.P(B4,B6:B10)</f>
        <v>1.6695266714451294E-2</v>
      </c>
      <c r="C12" s="19">
        <f t="shared" si="3"/>
        <v>2.4163311431451882</v>
      </c>
      <c r="D12" s="19">
        <f t="shared" si="3"/>
        <v>1.1815056307760683</v>
      </c>
      <c r="E12" s="19">
        <f>_xlfn.STDEV.P(E4,E6:E10)</f>
        <v>1.2348515763263033</v>
      </c>
      <c r="F12" s="19">
        <f>_xlfn.STDEV.P(F4,F6:F10)</f>
        <v>9.2855921847894273E-3</v>
      </c>
      <c r="G12" s="61" t="s">
        <v>53</v>
      </c>
      <c r="H12" s="19">
        <f>_xlfn.STDEV.P(H4,H6:H10)</f>
        <v>4.5595859192170318E-5</v>
      </c>
      <c r="I12" s="19">
        <f t="shared" ref="I12:N12" si="4">_xlfn.STDEV.P(I4,I6:I10)</f>
        <v>3.4115462991712258E-5</v>
      </c>
      <c r="J12" s="19">
        <f t="shared" si="4"/>
        <v>7.5579710250152546E-7</v>
      </c>
      <c r="K12" s="19">
        <f t="shared" si="4"/>
        <v>7.5579710250152546E-7</v>
      </c>
      <c r="L12" s="19">
        <f t="shared" si="4"/>
        <v>2.8747960202517938E-5</v>
      </c>
      <c r="M12" s="19">
        <f t="shared" si="4"/>
        <v>2.8747960202517938E-5</v>
      </c>
      <c r="N12" s="62">
        <f t="shared" si="4"/>
        <v>1.1388439191663744E-3</v>
      </c>
    </row>
    <row r="13" spans="1:14" x14ac:dyDescent="0.25">
      <c r="A13" s="45" t="s">
        <v>8</v>
      </c>
      <c r="B13" s="12">
        <f>B11+B12</f>
        <v>0.15547626671445131</v>
      </c>
      <c r="C13" s="42"/>
      <c r="D13" s="42"/>
      <c r="E13" s="42"/>
      <c r="F13" s="42"/>
      <c r="G13" s="42"/>
    </row>
    <row r="14" spans="1:14" ht="15.75" thickBot="1" x14ac:dyDescent="0.3">
      <c r="A14" s="46" t="s">
        <v>9</v>
      </c>
      <c r="B14" s="47">
        <f>B11-B12</f>
        <v>0.12208573328554873</v>
      </c>
      <c r="C14" s="42"/>
      <c r="D14" s="42"/>
      <c r="E14" s="42"/>
      <c r="F14" s="42"/>
      <c r="G14" s="42"/>
    </row>
  </sheetData>
  <mergeCells count="1">
    <mergeCell ref="A2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N12"/>
  <sheetViews>
    <sheetView workbookViewId="0">
      <selection activeCell="H33" sqref="H33"/>
    </sheetView>
  </sheetViews>
  <sheetFormatPr defaultRowHeight="15" x14ac:dyDescent="0.25"/>
  <cols>
    <col min="7" max="7" width="9.85546875" bestFit="1" customWidth="1"/>
    <col min="8" max="8" width="12.7109375" bestFit="1" customWidth="1"/>
    <col min="11" max="11" width="12" bestFit="1" customWidth="1"/>
  </cols>
  <sheetData>
    <row r="1" spans="1:14" ht="15.75" thickBot="1" x14ac:dyDescent="0.3">
      <c r="H1" t="s">
        <v>34</v>
      </c>
    </row>
    <row r="2" spans="1:14" x14ac:dyDescent="0.25">
      <c r="A2" s="215" t="s">
        <v>35</v>
      </c>
      <c r="B2" s="216"/>
      <c r="C2" s="216"/>
      <c r="D2" s="216"/>
      <c r="E2" s="216"/>
      <c r="F2" s="217"/>
      <c r="G2" s="40"/>
      <c r="H2" t="s">
        <v>36</v>
      </c>
    </row>
    <row r="3" spans="1:14" ht="45" x14ac:dyDescent="0.25">
      <c r="A3" s="1" t="s">
        <v>1</v>
      </c>
      <c r="B3" s="2" t="s">
        <v>2</v>
      </c>
      <c r="C3" s="2" t="s">
        <v>19</v>
      </c>
      <c r="D3" s="2" t="s">
        <v>20</v>
      </c>
      <c r="E3" s="2" t="s">
        <v>44</v>
      </c>
      <c r="F3" s="3" t="s">
        <v>4</v>
      </c>
      <c r="G3" s="41" t="s">
        <v>5</v>
      </c>
      <c r="H3" s="3" t="s">
        <v>37</v>
      </c>
      <c r="I3" s="50" t="s">
        <v>39</v>
      </c>
      <c r="J3" s="50" t="s">
        <v>41</v>
      </c>
      <c r="K3" s="50" t="s">
        <v>38</v>
      </c>
      <c r="L3" s="3" t="s">
        <v>42</v>
      </c>
      <c r="M3" s="3" t="s">
        <v>40</v>
      </c>
      <c r="N3" s="50" t="s">
        <v>43</v>
      </c>
    </row>
    <row r="4" spans="1:14" x14ac:dyDescent="0.25">
      <c r="A4" s="22">
        <v>6</v>
      </c>
      <c r="B4" s="42">
        <v>0.10370699999999999</v>
      </c>
      <c r="C4" s="13">
        <v>30.4</v>
      </c>
      <c r="D4" s="13">
        <v>21.1</v>
      </c>
      <c r="E4" s="13">
        <f>C4-D4</f>
        <v>9.2999999999999972</v>
      </c>
      <c r="F4" s="13">
        <v>1.5289999999999999</v>
      </c>
      <c r="G4" s="25"/>
      <c r="H4">
        <v>1.57625E-4</v>
      </c>
      <c r="I4">
        <v>-7.5237899999999993E-5</v>
      </c>
      <c r="J4">
        <f>-3.1465*10^-6</f>
        <v>-3.1464999999999999E-6</v>
      </c>
      <c r="K4">
        <f>3.1465*10^-6</f>
        <v>3.1464999999999999E-6</v>
      </c>
      <c r="L4">
        <v>-2.3286300000000001E-4</v>
      </c>
      <c r="M4">
        <v>-2.3286300000000001E-4</v>
      </c>
      <c r="N4">
        <v>0.99708200000000002</v>
      </c>
    </row>
    <row r="5" spans="1:14" x14ac:dyDescent="0.25">
      <c r="A5" s="22">
        <v>41</v>
      </c>
      <c r="B5" s="29">
        <v>7.4460600000000002E-2</v>
      </c>
      <c r="C5" s="13">
        <v>30.4</v>
      </c>
      <c r="D5" s="13">
        <v>21.1</v>
      </c>
      <c r="E5" s="13">
        <f t="shared" ref="E5:E8" si="0">C5-D5</f>
        <v>9.2999999999999972</v>
      </c>
      <c r="F5" s="13">
        <v>1.526</v>
      </c>
      <c r="G5" s="25"/>
      <c r="H5">
        <v>2.3375800000000001E-5</v>
      </c>
      <c r="I5">
        <v>-2.0705300000000001E-4</v>
      </c>
      <c r="J5">
        <f>-9.28142*10^-6</f>
        <v>-9.2814200000000003E-6</v>
      </c>
      <c r="K5">
        <f>9.28142*10^-6</f>
        <v>9.2814200000000003E-6</v>
      </c>
      <c r="L5">
        <v>-2.3042900000000001E-4</v>
      </c>
      <c r="M5">
        <v>-2.3042900000000001E-4</v>
      </c>
      <c r="N5">
        <v>0.99743300000000001</v>
      </c>
    </row>
    <row r="6" spans="1:14" x14ac:dyDescent="0.25">
      <c r="A6" s="22">
        <v>87</v>
      </c>
      <c r="B6" s="42">
        <v>5.6598599999999999E-2</v>
      </c>
      <c r="C6" s="13">
        <v>30.4</v>
      </c>
      <c r="D6" s="13">
        <v>21.1</v>
      </c>
      <c r="E6" s="13">
        <f t="shared" si="0"/>
        <v>9.2999999999999972</v>
      </c>
      <c r="F6" s="13">
        <v>1.526</v>
      </c>
      <c r="G6" s="25"/>
      <c r="H6" s="8">
        <v>-3.56139E-4</v>
      </c>
      <c r="I6">
        <v>-5.8578299999999999E-4</v>
      </c>
      <c r="J6">
        <v>-2.6258499999999999E-5</v>
      </c>
      <c r="K6">
        <f>0.0000262585</f>
        <v>2.6258499999999999E-5</v>
      </c>
      <c r="L6">
        <v>-2.2964400000000001E-4</v>
      </c>
      <c r="M6">
        <v>-2.2964400000000001E-4</v>
      </c>
      <c r="N6">
        <v>0.99762200000000001</v>
      </c>
    </row>
    <row r="7" spans="1:14" x14ac:dyDescent="0.25">
      <c r="A7" s="22">
        <v>156</v>
      </c>
      <c r="B7" s="22">
        <v>8.2409399999999994E-2</v>
      </c>
      <c r="C7" s="13">
        <v>30.4</v>
      </c>
      <c r="D7" s="13">
        <v>21.1</v>
      </c>
      <c r="E7" s="13">
        <f t="shared" si="0"/>
        <v>9.2999999999999972</v>
      </c>
      <c r="F7" s="13">
        <v>1.528</v>
      </c>
      <c r="G7" s="25"/>
      <c r="H7">
        <v>7.4523600000000006E-5</v>
      </c>
      <c r="I7">
        <v>-1.55904E-4</v>
      </c>
      <c r="J7">
        <f>-6.6762*10^-6</f>
        <v>-6.6761999999999997E-6</v>
      </c>
      <c r="K7">
        <f>6.6762*10^-6</f>
        <v>6.6761999999999997E-6</v>
      </c>
      <c r="L7">
        <v>-2.30428E-4</v>
      </c>
      <c r="M7">
        <v>-2.30428E-4</v>
      </c>
      <c r="N7">
        <v>0.99757799999999996</v>
      </c>
    </row>
    <row r="8" spans="1:14" ht="15.75" thickBot="1" x14ac:dyDescent="0.3">
      <c r="A8" s="22">
        <v>271</v>
      </c>
      <c r="B8" s="25">
        <v>9.2824599999999993E-2</v>
      </c>
      <c r="C8" s="13">
        <v>30.4</v>
      </c>
      <c r="D8" s="13">
        <v>21.1</v>
      </c>
      <c r="E8" s="13">
        <f t="shared" si="0"/>
        <v>9.2999999999999972</v>
      </c>
      <c r="F8" s="29">
        <v>1.5289999999999999</v>
      </c>
      <c r="G8" s="58"/>
      <c r="H8">
        <v>1.2397600000000001E-4</v>
      </c>
      <c r="I8">
        <v>-1.07247E-4</v>
      </c>
      <c r="J8">
        <f>-4.48515*10^-6</f>
        <v>-4.4851499999999997E-6</v>
      </c>
      <c r="K8">
        <f>4.48515*10^-6</f>
        <v>4.4851499999999997E-6</v>
      </c>
      <c r="L8">
        <v>-2.3122299999999999E-4</v>
      </c>
      <c r="M8">
        <v>-2.3122299999999999E-4</v>
      </c>
      <c r="N8">
        <v>0.99731499999999995</v>
      </c>
    </row>
    <row r="9" spans="1:14" x14ac:dyDescent="0.25">
      <c r="A9" s="43" t="s">
        <v>6</v>
      </c>
      <c r="B9" s="39">
        <f t="shared" ref="B9:D9" si="1">AVERAGE(B4:B5,B7:B8)</f>
        <v>8.8350399999999982E-2</v>
      </c>
      <c r="C9" s="39">
        <f t="shared" si="1"/>
        <v>30.4</v>
      </c>
      <c r="D9" s="39">
        <f t="shared" si="1"/>
        <v>21.1</v>
      </c>
      <c r="E9" s="39">
        <f>AVERAGE(E4:E5,E7:E8)</f>
        <v>9.2999999999999972</v>
      </c>
      <c r="F9" s="39">
        <f>AVERAGE(F4:F5,F7:F8)</f>
        <v>1.528</v>
      </c>
      <c r="G9" s="59" t="s">
        <v>52</v>
      </c>
      <c r="H9" s="39">
        <f>-AVERAGE(H4:H5,H7:H8)</f>
        <v>-9.4875099999999996E-5</v>
      </c>
      <c r="I9" s="39">
        <f>-AVERAGE(I4:I5,I7:I8)</f>
        <v>1.36360475E-4</v>
      </c>
      <c r="J9" s="39">
        <f t="shared" ref="J9:N9" si="2">AVERAGE(J4:J5,J7:J8)</f>
        <v>-5.8973174999999998E-6</v>
      </c>
      <c r="K9" s="39">
        <f t="shared" si="2"/>
        <v>5.8973174999999998E-6</v>
      </c>
      <c r="L9" s="39">
        <f t="shared" si="2"/>
        <v>-2.3123575E-4</v>
      </c>
      <c r="M9" s="39">
        <f t="shared" si="2"/>
        <v>-2.3123575E-4</v>
      </c>
      <c r="N9" s="60">
        <f t="shared" si="2"/>
        <v>0.99735200000000002</v>
      </c>
    </row>
    <row r="10" spans="1:14" ht="15.75" thickBot="1" x14ac:dyDescent="0.3">
      <c r="A10" s="45" t="s">
        <v>7</v>
      </c>
      <c r="B10" s="19">
        <f t="shared" ref="B10:D10" si="3">_xlfn.STDEV.P(B4:B5,B7:B8)</f>
        <v>1.1000746045609988E-2</v>
      </c>
      <c r="C10" s="19">
        <f t="shared" si="3"/>
        <v>0</v>
      </c>
      <c r="D10" s="19">
        <f t="shared" si="3"/>
        <v>0</v>
      </c>
      <c r="E10" s="19">
        <f>_xlfn.STDEV.P(E4:E5,E7:E8)</f>
        <v>0</v>
      </c>
      <c r="F10" s="19">
        <f>_xlfn.STDEV.P(F4:F5,F7:F8)</f>
        <v>1.2247448713915449E-3</v>
      </c>
      <c r="G10" s="61" t="s">
        <v>53</v>
      </c>
      <c r="H10" s="19">
        <f>_xlfn.STDEV.P(H4:H5,H7:H8)</f>
        <v>5.0770921262963109E-5</v>
      </c>
      <c r="I10" s="19">
        <f t="shared" ref="I10:N10" si="4">_xlfn.STDEV.P(I4:I5,I7:I8)</f>
        <v>4.9907279182268343E-5</v>
      </c>
      <c r="J10" s="19">
        <f t="shared" si="4"/>
        <v>2.3248667513254929E-6</v>
      </c>
      <c r="K10" s="19">
        <f t="shared" si="4"/>
        <v>2.3248667513254929E-6</v>
      </c>
      <c r="L10" s="19">
        <f t="shared" si="4"/>
        <v>9.9390778621560482E-7</v>
      </c>
      <c r="M10" s="19">
        <f t="shared" si="4"/>
        <v>9.9390778621560482E-7</v>
      </c>
      <c r="N10" s="62">
        <f t="shared" si="4"/>
        <v>1.8159432810524196E-4</v>
      </c>
    </row>
    <row r="11" spans="1:14" x14ac:dyDescent="0.25">
      <c r="A11" s="45" t="s">
        <v>8</v>
      </c>
      <c r="B11" s="12">
        <f>B9+B10</f>
        <v>9.9351146045609975E-2</v>
      </c>
      <c r="C11" s="42"/>
      <c r="D11" s="42"/>
      <c r="E11" s="42"/>
      <c r="F11" s="42"/>
      <c r="G11" s="42"/>
    </row>
    <row r="12" spans="1:14" ht="15.75" thickBot="1" x14ac:dyDescent="0.3">
      <c r="A12" s="46" t="s">
        <v>9</v>
      </c>
      <c r="B12" s="47">
        <f>B9-B10</f>
        <v>7.7349653954389988E-2</v>
      </c>
      <c r="C12" s="42"/>
      <c r="D12" s="42"/>
      <c r="E12" s="42"/>
      <c r="F12" s="42"/>
      <c r="G12" s="42"/>
    </row>
  </sheetData>
  <mergeCells count="1">
    <mergeCell ref="A2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2:N30"/>
  <sheetViews>
    <sheetView workbookViewId="0">
      <selection activeCell="B27" sqref="B27"/>
    </sheetView>
  </sheetViews>
  <sheetFormatPr defaultRowHeight="15" x14ac:dyDescent="0.25"/>
  <cols>
    <col min="7" max="7" width="10.28515625" bestFit="1" customWidth="1"/>
    <col min="8" max="8" width="12.7109375" bestFit="1" customWidth="1"/>
    <col min="11" max="11" width="12" bestFit="1" customWidth="1"/>
  </cols>
  <sheetData>
    <row r="2" spans="1:14" ht="15.75" thickBot="1" x14ac:dyDescent="0.3"/>
    <row r="3" spans="1:14" x14ac:dyDescent="0.25">
      <c r="A3" s="212" t="s">
        <v>23</v>
      </c>
      <c r="B3" s="213"/>
      <c r="C3" s="213"/>
      <c r="D3" s="213"/>
      <c r="E3" s="213"/>
      <c r="F3" s="214"/>
      <c r="G3" s="42"/>
    </row>
    <row r="4" spans="1:14" ht="45" x14ac:dyDescent="0.25">
      <c r="A4" s="1" t="s">
        <v>1</v>
      </c>
      <c r="B4" s="2" t="s">
        <v>2</v>
      </c>
      <c r="C4" s="2" t="s">
        <v>19</v>
      </c>
      <c r="D4" s="2" t="s">
        <v>20</v>
      </c>
      <c r="E4" s="2" t="s">
        <v>44</v>
      </c>
      <c r="F4" s="3" t="s">
        <v>4</v>
      </c>
      <c r="G4" s="41" t="s">
        <v>5</v>
      </c>
      <c r="H4" s="3" t="s">
        <v>37</v>
      </c>
      <c r="I4" s="50" t="s">
        <v>39</v>
      </c>
      <c r="J4" s="50" t="s">
        <v>41</v>
      </c>
      <c r="K4" s="50" t="s">
        <v>38</v>
      </c>
      <c r="L4" s="3" t="s">
        <v>42</v>
      </c>
      <c r="M4" s="3" t="s">
        <v>40</v>
      </c>
      <c r="N4" s="50" t="s">
        <v>43</v>
      </c>
    </row>
    <row r="5" spans="1:14" x14ac:dyDescent="0.25">
      <c r="A5" s="22">
        <v>17</v>
      </c>
      <c r="B5" s="29">
        <v>0.153313</v>
      </c>
      <c r="C5" s="29">
        <v>27.363600000000002</v>
      </c>
      <c r="D5" s="29">
        <v>18.77</v>
      </c>
      <c r="E5" s="29">
        <f>C5-D5</f>
        <v>8.5936000000000021</v>
      </c>
      <c r="F5" s="12">
        <v>1.544</v>
      </c>
      <c r="G5" s="25"/>
      <c r="H5">
        <v>1.73291E-4</v>
      </c>
      <c r="I5">
        <v>-4.6342199999999998E-5</v>
      </c>
      <c r="J5">
        <f>-1.2421*10^-6</f>
        <v>-1.2420999999999999E-6</v>
      </c>
      <c r="K5">
        <f>1.2421*10^-6</f>
        <v>1.2420999999999999E-6</v>
      </c>
      <c r="L5">
        <v>-2.19633E-4</v>
      </c>
      <c r="M5">
        <v>-2.19633E-4</v>
      </c>
      <c r="N5">
        <v>0.99545899999999998</v>
      </c>
    </row>
    <row r="6" spans="1:14" x14ac:dyDescent="0.25">
      <c r="A6" s="22">
        <v>41</v>
      </c>
      <c r="B6" s="42">
        <v>0.13053400000000001</v>
      </c>
      <c r="C6" s="29">
        <v>25.305199999999999</v>
      </c>
      <c r="D6" s="29">
        <v>1.88</v>
      </c>
      <c r="E6" s="29">
        <f t="shared" ref="E6:E26" si="0">C6-D6</f>
        <v>23.4252</v>
      </c>
      <c r="F6" s="12">
        <v>1.5580000000000001</v>
      </c>
      <c r="G6" s="25"/>
      <c r="H6">
        <v>1.3694400000000001E-4</v>
      </c>
      <c r="I6">
        <v>-8.8675200000000001E-5</v>
      </c>
      <c r="J6">
        <f>-1.13478*10^-6</f>
        <v>-1.1347799999999998E-6</v>
      </c>
      <c r="K6">
        <f>1.13478*10^-6</f>
        <v>1.1347799999999998E-6</v>
      </c>
      <c r="L6">
        <v>-2.2561900000000001E-4</v>
      </c>
      <c r="M6">
        <v>-2.2561900000000001E-4</v>
      </c>
      <c r="N6">
        <v>0.99546999999999997</v>
      </c>
    </row>
    <row r="7" spans="1:14" x14ac:dyDescent="0.25">
      <c r="A7" s="22">
        <v>67</v>
      </c>
      <c r="B7" s="22">
        <v>0.13225100000000001</v>
      </c>
      <c r="C7" s="22">
        <v>22.892900000000001</v>
      </c>
      <c r="D7" s="24">
        <v>2.14</v>
      </c>
      <c r="E7" s="29">
        <f t="shared" si="0"/>
        <v>20.7529</v>
      </c>
      <c r="F7" s="12">
        <v>1.5609999999999999</v>
      </c>
      <c r="G7" s="25"/>
      <c r="H7">
        <v>7.2179499999999996E-5</v>
      </c>
      <c r="I7">
        <v>-1.17464E-4</v>
      </c>
      <c r="J7">
        <f>-1.15075*10^-6</f>
        <v>-1.15075E-6</v>
      </c>
      <c r="K7">
        <f>1.15075*10^-6</f>
        <v>1.15075E-6</v>
      </c>
      <c r="L7">
        <v>-1.8964399999999999E-4</v>
      </c>
      <c r="M7">
        <v>-1.8964399999999999E-4</v>
      </c>
      <c r="N7">
        <v>0.99579099999999998</v>
      </c>
    </row>
    <row r="8" spans="1:14" x14ac:dyDescent="0.25">
      <c r="A8" s="22">
        <v>94</v>
      </c>
      <c r="B8" s="22">
        <v>0.16232099999999999</v>
      </c>
      <c r="C8" s="53">
        <v>18.983499999999999</v>
      </c>
      <c r="D8" s="24">
        <v>1.77</v>
      </c>
      <c r="E8" s="29">
        <f t="shared" si="0"/>
        <v>17.2135</v>
      </c>
      <c r="F8" s="12">
        <v>1.554</v>
      </c>
      <c r="G8" s="25"/>
      <c r="H8">
        <v>7.5894699999999997E-5</v>
      </c>
      <c r="I8">
        <v>-9.0205700000000003E-5</v>
      </c>
      <c r="J8">
        <f>-1.51527*10^-6</f>
        <v>-1.5152699999999997E-6</v>
      </c>
      <c r="K8">
        <f>1.51527*10^-6</f>
        <v>1.5152699999999997E-6</v>
      </c>
      <c r="L8">
        <v>-1.661E-4</v>
      </c>
      <c r="M8">
        <v>-1.661E-4</v>
      </c>
      <c r="N8">
        <v>0.99711700000000003</v>
      </c>
    </row>
    <row r="9" spans="1:14" x14ac:dyDescent="0.25">
      <c r="A9" s="22">
        <v>121</v>
      </c>
      <c r="B9" s="12">
        <v>0.115296</v>
      </c>
      <c r="C9" s="22">
        <v>24.12</v>
      </c>
      <c r="D9" s="24">
        <v>10.72</v>
      </c>
      <c r="E9" s="29">
        <f t="shared" si="0"/>
        <v>13.4</v>
      </c>
      <c r="F9" s="12">
        <v>1.5369999999999999</v>
      </c>
      <c r="G9" s="25"/>
      <c r="H9">
        <v>1.00963E-4</v>
      </c>
      <c r="I9">
        <v>-1.69672E-4</v>
      </c>
      <c r="J9">
        <f>-5.73646*10^-6</f>
        <v>-5.7364599999999998E-6</v>
      </c>
      <c r="K9">
        <f>5.73646*10^-6</f>
        <v>5.7364599999999998E-6</v>
      </c>
      <c r="L9">
        <v>-2.7063500000000003E-4</v>
      </c>
      <c r="M9">
        <v>-2.7063500000000003E-4</v>
      </c>
      <c r="N9">
        <v>0.99650000000000005</v>
      </c>
    </row>
    <row r="10" spans="1:14" x14ac:dyDescent="0.25">
      <c r="A10" s="22">
        <v>254</v>
      </c>
      <c r="B10" s="25">
        <v>0.143732</v>
      </c>
      <c r="C10" s="22">
        <v>16.270299999999999</v>
      </c>
      <c r="D10" s="24">
        <v>4</v>
      </c>
      <c r="E10" s="29">
        <f t="shared" si="0"/>
        <v>12.270299999999999</v>
      </c>
      <c r="F10" s="12">
        <v>1.518</v>
      </c>
      <c r="G10" s="25"/>
      <c r="H10" s="8">
        <f>-8.63564*10^-6</f>
        <v>-8.6356400000000002E-6</v>
      </c>
      <c r="I10">
        <v>-1.9286999999999999E-4</v>
      </c>
      <c r="J10">
        <v>-1.0192300000000001E-5</v>
      </c>
      <c r="K10">
        <f>0.0000101923</f>
        <v>1.0192300000000001E-5</v>
      </c>
      <c r="L10">
        <v>-1.8423499999999999E-4</v>
      </c>
      <c r="M10">
        <v>-1.8423499999999999E-4</v>
      </c>
      <c r="N10">
        <v>0.997892</v>
      </c>
    </row>
    <row r="11" spans="1:14" x14ac:dyDescent="0.25">
      <c r="A11" s="22">
        <v>306</v>
      </c>
      <c r="B11" s="26">
        <v>0.14080699999999999</v>
      </c>
      <c r="C11" s="25">
        <v>25.066199999999998</v>
      </c>
      <c r="D11" s="28">
        <v>14.42</v>
      </c>
      <c r="E11" s="29">
        <f t="shared" si="0"/>
        <v>10.646199999999999</v>
      </c>
      <c r="F11" s="12">
        <v>1.5389999999999999</v>
      </c>
      <c r="G11" s="25"/>
      <c r="H11">
        <v>1.7053899999999999E-4</v>
      </c>
      <c r="I11">
        <v>-8.2357399999999999E-5</v>
      </c>
      <c r="J11">
        <f>-2.61954*10^-6</f>
        <v>-2.6195399999999999E-6</v>
      </c>
      <c r="K11">
        <f>2.61954*10^-6</f>
        <v>2.6195399999999999E-6</v>
      </c>
      <c r="L11">
        <v>-2.5289600000000001E-4</v>
      </c>
      <c r="M11">
        <v>-2.5289600000000001E-4</v>
      </c>
      <c r="N11">
        <v>0.99557600000000002</v>
      </c>
    </row>
    <row r="12" spans="1:14" x14ac:dyDescent="0.25">
      <c r="A12" s="22">
        <v>391</v>
      </c>
      <c r="B12" s="22">
        <v>0.132107</v>
      </c>
      <c r="C12" s="22">
        <v>17.7059</v>
      </c>
      <c r="D12" s="24">
        <v>9.2899999999999991</v>
      </c>
      <c r="E12" s="29">
        <f t="shared" si="0"/>
        <v>8.4159000000000006</v>
      </c>
      <c r="F12" s="12">
        <v>1.5269999999999999</v>
      </c>
      <c r="G12" s="25"/>
      <c r="H12" s="8">
        <v>-3.2909900000000001E-5</v>
      </c>
      <c r="I12">
        <v>-2.1179700000000001E-4</v>
      </c>
      <c r="J12">
        <f>-9.28188*10^-6</f>
        <v>-9.2818799999999986E-6</v>
      </c>
      <c r="K12">
        <f>9.28188*10^-6</f>
        <v>9.2818799999999986E-6</v>
      </c>
      <c r="L12">
        <v>-1.78887E-4</v>
      </c>
      <c r="M12">
        <v>-1.78887E-4</v>
      </c>
      <c r="N12">
        <v>0.99693100000000001</v>
      </c>
    </row>
    <row r="13" spans="1:14" x14ac:dyDescent="0.25">
      <c r="A13" s="22">
        <v>414</v>
      </c>
      <c r="B13" s="22">
        <v>0.13252900000000001</v>
      </c>
      <c r="C13" s="22">
        <v>22.296299999999999</v>
      </c>
      <c r="D13" s="24">
        <v>11.22</v>
      </c>
      <c r="E13" s="29">
        <f t="shared" si="0"/>
        <v>11.076299999999998</v>
      </c>
      <c r="F13" s="12">
        <v>1.536</v>
      </c>
      <c r="G13" s="25"/>
      <c r="H13">
        <v>1.09739E-4</v>
      </c>
      <c r="I13">
        <v>-1.2869699999999999E-4</v>
      </c>
      <c r="J13">
        <f>-4.48001*10^-6</f>
        <v>-4.4800100000000002E-6</v>
      </c>
      <c r="K13">
        <f>4.48001*10^-6</f>
        <v>4.4800100000000002E-6</v>
      </c>
      <c r="L13">
        <v>-2.3843599999999999E-4</v>
      </c>
      <c r="M13">
        <v>-2.3843599999999999E-4</v>
      </c>
      <c r="N13">
        <v>0.997255</v>
      </c>
    </row>
    <row r="14" spans="1:14" x14ac:dyDescent="0.25">
      <c r="A14" s="22">
        <v>497</v>
      </c>
      <c r="B14" s="25">
        <v>0.149503</v>
      </c>
      <c r="C14" s="22">
        <v>21.5</v>
      </c>
      <c r="D14" s="24">
        <v>5.29</v>
      </c>
      <c r="E14" s="29">
        <f t="shared" si="0"/>
        <v>16.21</v>
      </c>
      <c r="F14" s="12">
        <v>1.5389999999999999</v>
      </c>
      <c r="G14" s="25"/>
      <c r="H14">
        <v>1.40925E-4</v>
      </c>
      <c r="I14">
        <v>-1.17624E-4</v>
      </c>
      <c r="J14">
        <f>-3.74127*10^-6</f>
        <v>-3.7412700000000001E-6</v>
      </c>
      <c r="K14">
        <f>3.74127*10^-6</f>
        <v>3.7412700000000001E-6</v>
      </c>
      <c r="L14">
        <v>-2.5854900000000001E-4</v>
      </c>
      <c r="M14">
        <v>-2.5854900000000001E-4</v>
      </c>
      <c r="N14">
        <v>0.99661599999999995</v>
      </c>
    </row>
    <row r="15" spans="1:14" x14ac:dyDescent="0.25">
      <c r="A15" s="22">
        <v>543</v>
      </c>
      <c r="B15" s="22">
        <v>0.14720800000000001</v>
      </c>
      <c r="C15" s="22">
        <v>22.407399999999999</v>
      </c>
      <c r="D15" s="24">
        <v>5.78</v>
      </c>
      <c r="E15" s="29">
        <f t="shared" si="0"/>
        <v>16.627399999999998</v>
      </c>
      <c r="F15" s="12">
        <v>1.5429999999999999</v>
      </c>
      <c r="G15" s="25"/>
      <c r="H15">
        <v>1.51688E-4</v>
      </c>
      <c r="I15">
        <v>-1.1932199999999999E-4</v>
      </c>
      <c r="J15">
        <f>-3.31756*10^-6</f>
        <v>-3.3175599999999995E-6</v>
      </c>
      <c r="K15">
        <f>3.31756*10^-6</f>
        <v>3.3175599999999995E-6</v>
      </c>
      <c r="L15">
        <v>-2.7101000000000002E-4</v>
      </c>
      <c r="M15">
        <v>-2.7101000000000002E-4</v>
      </c>
      <c r="N15">
        <v>0.99645700000000004</v>
      </c>
    </row>
    <row r="16" spans="1:14" x14ac:dyDescent="0.25">
      <c r="A16" s="22">
        <v>600</v>
      </c>
      <c r="B16" s="22">
        <v>0.165461</v>
      </c>
      <c r="C16" s="22">
        <v>21.5</v>
      </c>
      <c r="D16" s="24">
        <v>12.11</v>
      </c>
      <c r="E16" s="29">
        <f t="shared" si="0"/>
        <v>9.39</v>
      </c>
      <c r="F16" s="12">
        <v>1.538</v>
      </c>
      <c r="G16" s="25"/>
      <c r="H16">
        <v>1.4672E-4</v>
      </c>
      <c r="I16">
        <v>-7.4060999999999994E-5</v>
      </c>
      <c r="J16">
        <f>-2.4298*10^-6</f>
        <v>-2.4298E-6</v>
      </c>
      <c r="K16">
        <f>2.4298*10^-6</f>
        <v>2.4298E-6</v>
      </c>
      <c r="L16">
        <v>-2.20781E-4</v>
      </c>
      <c r="M16">
        <v>-2.20781E-4</v>
      </c>
      <c r="N16">
        <v>0.99699400000000005</v>
      </c>
    </row>
    <row r="17" spans="1:14" x14ac:dyDescent="0.25">
      <c r="A17" s="22">
        <v>668</v>
      </c>
      <c r="B17" s="22">
        <v>0.15821299999999999</v>
      </c>
      <c r="C17" s="22">
        <v>21.506</v>
      </c>
      <c r="D17" s="24">
        <v>12.11</v>
      </c>
      <c r="E17" s="29">
        <f t="shared" si="0"/>
        <v>9.3960000000000008</v>
      </c>
      <c r="F17" s="12">
        <v>1.5309999999999999</v>
      </c>
      <c r="G17" s="25"/>
      <c r="H17">
        <v>1.4393300000000001E-4</v>
      </c>
      <c r="I17">
        <v>-7.65389E-5</v>
      </c>
      <c r="J17">
        <f>-3.04758*10^-6</f>
        <v>-3.0475799999999997E-6</v>
      </c>
      <c r="K17">
        <f>3.04758*10^-6</f>
        <v>3.0475799999999997E-6</v>
      </c>
      <c r="L17">
        <v>-2.2047200000000001E-4</v>
      </c>
      <c r="M17">
        <v>-2.2047200000000001E-4</v>
      </c>
      <c r="N17">
        <v>0.99715200000000004</v>
      </c>
    </row>
    <row r="18" spans="1:14" x14ac:dyDescent="0.25">
      <c r="A18" s="22">
        <v>695</v>
      </c>
      <c r="B18" s="22">
        <v>0.14902199999999999</v>
      </c>
      <c r="C18" s="22">
        <v>18.906300000000002</v>
      </c>
      <c r="D18" s="24">
        <v>10.91</v>
      </c>
      <c r="E18" s="29">
        <f t="shared" si="0"/>
        <v>7.9963000000000015</v>
      </c>
      <c r="F18" s="12">
        <v>1.5289999999999999</v>
      </c>
      <c r="G18" s="25"/>
      <c r="H18">
        <v>6.5398299999999994E-5</v>
      </c>
      <c r="I18">
        <v>-1.1568799999999999E-4</v>
      </c>
      <c r="J18">
        <f>-4.83815*10^-6</f>
        <v>-4.8381499999999996E-6</v>
      </c>
      <c r="K18">
        <f>4.83815*10^-6</f>
        <v>4.8381499999999996E-6</v>
      </c>
      <c r="L18">
        <v>-1.8108600000000001E-4</v>
      </c>
      <c r="M18">
        <v>-1.8108600000000001E-4</v>
      </c>
      <c r="N18">
        <v>0.99681900000000001</v>
      </c>
    </row>
    <row r="19" spans="1:14" x14ac:dyDescent="0.25">
      <c r="A19" s="22">
        <v>736</v>
      </c>
      <c r="B19" s="22">
        <v>0.13761100000000001</v>
      </c>
      <c r="C19" s="22">
        <v>21.607099999999999</v>
      </c>
      <c r="D19" s="24">
        <v>10.8</v>
      </c>
      <c r="E19" s="29">
        <f t="shared" si="0"/>
        <v>10.807099999999998</v>
      </c>
      <c r="F19" s="12">
        <v>1.5329999999999999</v>
      </c>
      <c r="G19" s="25"/>
      <c r="H19">
        <v>1.1284E-4</v>
      </c>
      <c r="I19">
        <v>-1.20321E-4</v>
      </c>
      <c r="J19">
        <f>-4.54988*10^-6</f>
        <v>-4.5498799999999997E-6</v>
      </c>
      <c r="K19">
        <f>4.54988*10^-6</f>
        <v>4.5498799999999997E-6</v>
      </c>
      <c r="L19">
        <v>-2.3316100000000001E-4</v>
      </c>
      <c r="M19">
        <v>-2.3316100000000001E-4</v>
      </c>
      <c r="N19">
        <v>0.99739100000000003</v>
      </c>
    </row>
    <row r="20" spans="1:14" x14ac:dyDescent="0.25">
      <c r="A20" s="22">
        <v>836</v>
      </c>
      <c r="B20" s="22">
        <v>0.151287</v>
      </c>
      <c r="C20" s="22">
        <v>22.296299999999999</v>
      </c>
      <c r="D20" s="24">
        <v>13.04</v>
      </c>
      <c r="E20" s="29">
        <f t="shared" si="0"/>
        <v>9.2562999999999995</v>
      </c>
      <c r="F20" s="12">
        <v>1.542</v>
      </c>
      <c r="G20" s="25"/>
      <c r="H20">
        <v>1.28844E-4</v>
      </c>
      <c r="I20">
        <v>-8.6288300000000005E-5</v>
      </c>
      <c r="J20">
        <f>-2.48547*10^-6</f>
        <v>-2.4854699999999998E-6</v>
      </c>
      <c r="K20">
        <f>2.48547*10^-6</f>
        <v>2.4854699999999998E-6</v>
      </c>
      <c r="L20">
        <v>-2.1513200000000001E-4</v>
      </c>
      <c r="M20">
        <v>-2.1513200000000001E-4</v>
      </c>
      <c r="N20">
        <v>0.99595100000000003</v>
      </c>
    </row>
    <row r="21" spans="1:14" x14ac:dyDescent="0.25">
      <c r="A21" s="22">
        <v>919</v>
      </c>
      <c r="B21" s="22">
        <v>0.12492200000000001</v>
      </c>
      <c r="C21" s="22">
        <v>25.166699999999999</v>
      </c>
      <c r="D21" s="24">
        <v>6.37</v>
      </c>
      <c r="E21" s="29">
        <f t="shared" si="0"/>
        <v>18.796699999999998</v>
      </c>
      <c r="F21" s="12">
        <v>1.542</v>
      </c>
      <c r="G21" s="25"/>
      <c r="H21">
        <v>1.59693E-4</v>
      </c>
      <c r="I21">
        <v>-1.42967E-4</v>
      </c>
      <c r="J21">
        <f>-4.11806*10^-6</f>
        <v>-4.1180599999999993E-6</v>
      </c>
      <c r="K21">
        <f>4.11806*10^-6</f>
        <v>4.1180599999999993E-6</v>
      </c>
      <c r="L21">
        <v>-3.0266000000000001E-4</v>
      </c>
      <c r="M21">
        <v>-3.0266000000000001E-4</v>
      </c>
      <c r="N21">
        <v>0.99613700000000005</v>
      </c>
    </row>
    <row r="22" spans="1:14" x14ac:dyDescent="0.25">
      <c r="A22" s="22">
        <v>954</v>
      </c>
      <c r="B22" s="25">
        <v>0.15206600000000001</v>
      </c>
      <c r="C22" s="22">
        <v>20.0623</v>
      </c>
      <c r="D22" s="24">
        <v>11.71</v>
      </c>
      <c r="E22" s="29">
        <f t="shared" si="0"/>
        <v>8.3522999999999996</v>
      </c>
      <c r="F22" s="12">
        <v>1.5309999999999999</v>
      </c>
      <c r="G22" s="25"/>
      <c r="H22">
        <v>9.7412999999999997E-5</v>
      </c>
      <c r="I22">
        <v>-9.4927999999999996E-5</v>
      </c>
      <c r="J22">
        <f>-3.77978*10^-6</f>
        <v>-3.7797800000000001E-6</v>
      </c>
      <c r="K22">
        <f>3.77978*10^-6</f>
        <v>3.7797800000000001E-6</v>
      </c>
      <c r="L22">
        <v>-1.9234100000000001E-4</v>
      </c>
      <c r="M22">
        <v>-1.9234100000000001E-4</v>
      </c>
      <c r="N22">
        <v>0.99707500000000004</v>
      </c>
    </row>
    <row r="23" spans="1:14" x14ac:dyDescent="0.25">
      <c r="A23" s="22">
        <v>972</v>
      </c>
      <c r="B23" s="25">
        <v>0.111648</v>
      </c>
      <c r="C23" s="22">
        <v>20.793099999999999</v>
      </c>
      <c r="D23" s="24">
        <v>12.14</v>
      </c>
      <c r="E23" s="29">
        <f t="shared" si="0"/>
        <v>8.6530999999999985</v>
      </c>
      <c r="F23" s="25">
        <v>1.5329999999999999</v>
      </c>
      <c r="G23" s="25"/>
      <c r="H23" s="8">
        <v>-5.3132299999999999E-5</v>
      </c>
      <c r="I23">
        <v>-2.4686800000000002E-4</v>
      </c>
      <c r="J23">
        <f>-9.33517*10^-6</f>
        <v>-9.3351699999999996E-6</v>
      </c>
      <c r="K23">
        <f>9.33517*10^-6</f>
        <v>9.3351699999999996E-6</v>
      </c>
      <c r="L23">
        <v>-1.9373599999999999E-4</v>
      </c>
      <c r="M23">
        <v>-1.9373599999999999E-4</v>
      </c>
      <c r="N23">
        <v>0.99681900000000001</v>
      </c>
    </row>
    <row r="24" spans="1:14" x14ac:dyDescent="0.25">
      <c r="A24" s="22">
        <v>988</v>
      </c>
      <c r="B24" s="22">
        <v>0.14257800000000001</v>
      </c>
      <c r="C24" s="22">
        <v>20.133299999999998</v>
      </c>
      <c r="D24" s="24">
        <v>10.029999999999999</v>
      </c>
      <c r="E24" s="29">
        <f t="shared" si="0"/>
        <v>10.103299999999999</v>
      </c>
      <c r="F24" s="30">
        <v>1.5369999999999999</v>
      </c>
      <c r="G24" s="25"/>
      <c r="H24">
        <v>7.9577299999999994E-5</v>
      </c>
      <c r="I24">
        <v>-1.3325899999999999E-4</v>
      </c>
      <c r="J24">
        <f>-4.50539*10^-6</f>
        <v>-4.5053900000000002E-6</v>
      </c>
      <c r="K24">
        <f>4.50539*10^-6</f>
        <v>4.5053900000000002E-6</v>
      </c>
      <c r="L24">
        <v>-2.1283700000000001E-4</v>
      </c>
      <c r="M24">
        <v>-2.1283700000000001E-4</v>
      </c>
      <c r="N24">
        <v>0.99630799999999997</v>
      </c>
    </row>
    <row r="25" spans="1:14" x14ac:dyDescent="0.25">
      <c r="A25" s="22">
        <v>1010</v>
      </c>
      <c r="B25" s="22">
        <v>0.17419799999999999</v>
      </c>
      <c r="C25" s="22">
        <v>22.407399999999999</v>
      </c>
      <c r="D25" s="24">
        <v>14.22</v>
      </c>
      <c r="E25" s="29">
        <f t="shared" si="0"/>
        <v>8.1873999999999985</v>
      </c>
      <c r="F25" s="30">
        <v>1.542</v>
      </c>
      <c r="G25" s="25"/>
      <c r="H25">
        <v>1.4834900000000001E-4</v>
      </c>
      <c r="I25">
        <v>-5.43006E-5</v>
      </c>
      <c r="J25">
        <f>-1.56409*10^-6</f>
        <v>-1.5640899999999999E-6</v>
      </c>
      <c r="K25">
        <f>1.56409*10^-6</f>
        <v>1.5640899999999999E-6</v>
      </c>
      <c r="L25">
        <v>-2.0264999999999999E-4</v>
      </c>
      <c r="M25">
        <v>-2.0264999999999999E-4</v>
      </c>
      <c r="N25">
        <v>0.99539500000000003</v>
      </c>
    </row>
    <row r="26" spans="1:14" ht="15.75" thickBot="1" x14ac:dyDescent="0.3">
      <c r="A26" s="22">
        <v>1029</v>
      </c>
      <c r="B26" s="22">
        <v>0.16046099999999999</v>
      </c>
      <c r="C26" s="22">
        <v>20.862100000000002</v>
      </c>
      <c r="D26" s="24">
        <v>11.93</v>
      </c>
      <c r="E26" s="29">
        <f t="shared" si="0"/>
        <v>8.9321000000000019</v>
      </c>
      <c r="F26" s="30">
        <v>1.5389999999999999</v>
      </c>
      <c r="G26" s="58"/>
      <c r="H26">
        <v>1.2273199999999999E-4</v>
      </c>
      <c r="I26">
        <v>-8.3305600000000004E-5</v>
      </c>
      <c r="J26">
        <f>-2.6497*10^-6</f>
        <v>-2.6497000000000002E-6</v>
      </c>
      <c r="K26">
        <f>2.6497*10^-6</f>
        <v>2.6497000000000002E-6</v>
      </c>
      <c r="L26">
        <v>-2.0603700000000001E-4</v>
      </c>
      <c r="M26">
        <v>-2.0603700000000001E-4</v>
      </c>
      <c r="N26">
        <v>0.99654500000000001</v>
      </c>
    </row>
    <row r="27" spans="1:14" x14ac:dyDescent="0.25">
      <c r="A27" s="43" t="s">
        <v>6</v>
      </c>
      <c r="B27" s="39">
        <f>AVERAGE(B5:B9,B11,B13:B22,B24:B26)</f>
        <v>0.14629373684210528</v>
      </c>
      <c r="C27" s="39">
        <f t="shared" ref="C27:D27" si="1">AVERAGE(C5:C9,C11,C13:C22,C24:C26)</f>
        <v>22.335926315789472</v>
      </c>
      <c r="D27" s="39">
        <f t="shared" si="1"/>
        <v>9.7484210526315795</v>
      </c>
      <c r="E27" s="39">
        <f>AVERAGE(E5:E9,E11,E13:E22,E24:E26)</f>
        <v>12.587505263157894</v>
      </c>
      <c r="F27" s="39">
        <f>AVERAGE(F5:F9,F11,F13:F22,F24:F26)</f>
        <v>1.5407894736842109</v>
      </c>
      <c r="G27" s="59" t="s">
        <v>52</v>
      </c>
      <c r="H27" s="39">
        <f>-AVERAGE(H5:H9,H11,H13:H22,H24:H26)</f>
        <v>-1.230348842105263E-4</v>
      </c>
      <c r="I27" s="39">
        <f>-AVERAGE(I5:I9,I11,I13:I22,I24:I26)</f>
        <v>1.0221141578947369E-4</v>
      </c>
      <c r="J27" s="39">
        <f t="shared" ref="J27:N27" si="2">AVERAGE(J5:J9,J11,J13:J22,J24:J26)</f>
        <v>-3.1002968421052629E-6</v>
      </c>
      <c r="K27" s="39">
        <f t="shared" si="2"/>
        <v>3.1002968421052629E-6</v>
      </c>
      <c r="L27" s="39">
        <f t="shared" si="2"/>
        <v>-2.2524626315789477E-4</v>
      </c>
      <c r="M27" s="39">
        <f t="shared" si="2"/>
        <v>-2.2524626315789477E-4</v>
      </c>
      <c r="N27" s="60">
        <f t="shared" si="2"/>
        <v>0.99642147368421075</v>
      </c>
    </row>
    <row r="28" spans="1:14" ht="15.75" thickBot="1" x14ac:dyDescent="0.3">
      <c r="A28" s="45" t="s">
        <v>7</v>
      </c>
      <c r="B28" s="19">
        <f t="shared" ref="B28:D28" si="3">_xlfn.STDEV.P(B5:B9,B11,B13:B22,B24:B26)</f>
        <v>1.4588627715277348E-2</v>
      </c>
      <c r="C28" s="19">
        <f t="shared" si="3"/>
        <v>2.1870428518031528</v>
      </c>
      <c r="D28" s="19">
        <f t="shared" si="3"/>
        <v>4.5302611324268973</v>
      </c>
      <c r="E28" s="19">
        <f>_xlfn.STDEV.P(E5:E9,E11,E13:E22,E24:E26)</f>
        <v>4.6383817126318547</v>
      </c>
      <c r="F28" s="19">
        <f>_xlfn.STDEV.P(F5:F9,F11,F13:F22,F24:F26)</f>
        <v>8.4578144954108331E-3</v>
      </c>
      <c r="G28" s="61" t="s">
        <v>53</v>
      </c>
      <c r="H28" s="19">
        <f>_xlfn.STDEV.P(H5:H9,H11,H13:H22,H24:H26)</f>
        <v>3.2908472889344142E-5</v>
      </c>
      <c r="I28" s="19">
        <f t="shared" ref="I28:N28" si="4">_xlfn.STDEV.P(I5:I9,I11,I13:I22,I24:I26)</f>
        <v>3.0265348170600077E-5</v>
      </c>
      <c r="J28" s="19">
        <f t="shared" si="4"/>
        <v>1.3603001519751852E-6</v>
      </c>
      <c r="K28" s="19">
        <f t="shared" si="4"/>
        <v>1.3603001519751852E-6</v>
      </c>
      <c r="L28" s="19">
        <f t="shared" si="4"/>
        <v>3.3455766369219533E-5</v>
      </c>
      <c r="M28" s="19">
        <f t="shared" si="4"/>
        <v>3.3455766369219533E-5</v>
      </c>
      <c r="N28" s="62">
        <f t="shared" si="4"/>
        <v>6.4638210700394621E-4</v>
      </c>
    </row>
    <row r="29" spans="1:14" x14ac:dyDescent="0.25">
      <c r="A29" s="45" t="s">
        <v>8</v>
      </c>
      <c r="B29" s="12">
        <f>B27+B28</f>
        <v>0.16088236455738264</v>
      </c>
      <c r="C29" s="42"/>
      <c r="D29" s="42"/>
      <c r="E29" s="42"/>
      <c r="F29" s="42"/>
      <c r="G29" s="42"/>
    </row>
    <row r="30" spans="1:14" ht="15.75" thickBot="1" x14ac:dyDescent="0.3">
      <c r="A30" s="46" t="s">
        <v>9</v>
      </c>
      <c r="B30" s="47">
        <f>B27-B28</f>
        <v>0.13170510912682792</v>
      </c>
      <c r="C30" s="42"/>
      <c r="D30" s="42"/>
      <c r="E30" s="42"/>
      <c r="F30" s="42"/>
      <c r="G30" s="42"/>
    </row>
  </sheetData>
  <mergeCells count="1"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N35"/>
  <sheetViews>
    <sheetView workbookViewId="0">
      <selection activeCell="I32" sqref="I32"/>
    </sheetView>
  </sheetViews>
  <sheetFormatPr defaultRowHeight="15" x14ac:dyDescent="0.25"/>
  <cols>
    <col min="8" max="8" width="12.85546875" bestFit="1" customWidth="1"/>
    <col min="9" max="10" width="12.7109375" bestFit="1" customWidth="1"/>
    <col min="11" max="11" width="12" bestFit="1" customWidth="1"/>
    <col min="12" max="14" width="9.28515625" bestFit="1" customWidth="1"/>
  </cols>
  <sheetData>
    <row r="1" spans="1:14" ht="15.75" thickBot="1" x14ac:dyDescent="0.3"/>
    <row r="2" spans="1:14" x14ac:dyDescent="0.25">
      <c r="A2" s="212" t="s">
        <v>24</v>
      </c>
      <c r="B2" s="213"/>
      <c r="C2" s="213"/>
      <c r="D2" s="213"/>
      <c r="E2" s="213"/>
      <c r="F2" s="214"/>
      <c r="G2" s="42"/>
    </row>
    <row r="3" spans="1:14" ht="45" x14ac:dyDescent="0.25">
      <c r="A3" s="1" t="s">
        <v>1</v>
      </c>
      <c r="B3" s="2" t="s">
        <v>2</v>
      </c>
      <c r="C3" s="2" t="s">
        <v>19</v>
      </c>
      <c r="D3" s="2" t="s">
        <v>20</v>
      </c>
      <c r="E3" s="2" t="s">
        <v>44</v>
      </c>
      <c r="F3" s="3" t="s">
        <v>4</v>
      </c>
      <c r="G3" s="41" t="s">
        <v>5</v>
      </c>
      <c r="H3" s="3" t="s">
        <v>37</v>
      </c>
      <c r="I3" s="50" t="s">
        <v>39</v>
      </c>
      <c r="J3" s="50" t="s">
        <v>41</v>
      </c>
      <c r="K3" s="50" t="s">
        <v>38</v>
      </c>
      <c r="L3" s="3" t="s">
        <v>42</v>
      </c>
      <c r="M3" s="3" t="s">
        <v>40</v>
      </c>
      <c r="N3" s="50" t="s">
        <v>43</v>
      </c>
    </row>
    <row r="4" spans="1:14" x14ac:dyDescent="0.25">
      <c r="A4" s="22">
        <v>10</v>
      </c>
      <c r="B4" s="42">
        <v>0.144681</v>
      </c>
      <c r="C4" s="29">
        <v>21.555599999999998</v>
      </c>
      <c r="D4" s="29">
        <v>12.44</v>
      </c>
      <c r="E4" s="29">
        <f>C4-D4</f>
        <v>9.1155999999999988</v>
      </c>
      <c r="F4" s="12">
        <v>1.5349999999999999</v>
      </c>
      <c r="G4" s="25"/>
      <c r="H4" s="55">
        <v>1.1137300000000001E-4</v>
      </c>
      <c r="I4" s="55">
        <v>-9.8048399999999995E-5</v>
      </c>
      <c r="J4" s="55">
        <f>-3.51127*10^-6</f>
        <v>-3.5112699999999998E-6</v>
      </c>
      <c r="K4" s="55">
        <f>3.51127*10^-6</f>
        <v>3.5112699999999998E-6</v>
      </c>
      <c r="L4" s="55">
        <v>-2.09421E-4</v>
      </c>
      <c r="M4" s="55">
        <v>-2.09421E-4</v>
      </c>
      <c r="N4" s="55">
        <v>0.99241599999999996</v>
      </c>
    </row>
    <row r="5" spans="1:14" x14ac:dyDescent="0.25">
      <c r="A5" s="22">
        <v>26</v>
      </c>
      <c r="B5" s="29">
        <v>0.15251600000000001</v>
      </c>
      <c r="C5" s="29">
        <v>19.382100000000001</v>
      </c>
      <c r="D5" s="29">
        <v>10.32</v>
      </c>
      <c r="E5" s="29">
        <f t="shared" ref="E5:E31" si="0">C5-D5</f>
        <v>9.0621000000000009</v>
      </c>
      <c r="F5" s="12">
        <v>1.5349999999999999</v>
      </c>
      <c r="G5" s="25"/>
      <c r="H5" s="55">
        <v>8.4867499999999993E-5</v>
      </c>
      <c r="I5" s="55">
        <v>-1.13245E-4</v>
      </c>
      <c r="J5" s="55">
        <f>-4.0555*10^-6</f>
        <v>-4.0555000000000004E-6</v>
      </c>
      <c r="K5" s="55">
        <f>4.0555*10^-6</f>
        <v>4.0555000000000004E-6</v>
      </c>
      <c r="L5" s="55">
        <v>-1.9811300000000001E-4</v>
      </c>
      <c r="M5" s="55">
        <v>-1.9811300000000001E-4</v>
      </c>
      <c r="N5" s="55">
        <v>0.99408399999999997</v>
      </c>
    </row>
    <row r="6" spans="1:14" x14ac:dyDescent="0.25">
      <c r="A6" s="22">
        <v>48</v>
      </c>
      <c r="B6" s="42">
        <v>0.12446400000000001</v>
      </c>
      <c r="C6" s="29">
        <v>17.636399999999998</v>
      </c>
      <c r="D6" s="29">
        <v>6.36</v>
      </c>
      <c r="E6" s="29">
        <f t="shared" si="0"/>
        <v>11.276399999999999</v>
      </c>
      <c r="F6" s="12">
        <v>1.524</v>
      </c>
      <c r="G6" s="25"/>
      <c r="H6" s="56">
        <v>-6.7354799999999994E-5</v>
      </c>
      <c r="I6" s="55">
        <v>-2.6624299999999999E-4</v>
      </c>
      <c r="J6" s="55">
        <v>-1.2468300000000001E-5</v>
      </c>
      <c r="K6" s="55">
        <f>0.0000124683</f>
        <v>1.2468300000000001E-5</v>
      </c>
      <c r="L6" s="55">
        <v>-1.98889E-4</v>
      </c>
      <c r="M6" s="55">
        <v>-1.98889E-4</v>
      </c>
      <c r="N6" s="55">
        <v>0.99596200000000001</v>
      </c>
    </row>
    <row r="7" spans="1:14" x14ac:dyDescent="0.25">
      <c r="A7" s="22">
        <v>73</v>
      </c>
      <c r="B7" s="22">
        <v>0.15135000000000001</v>
      </c>
      <c r="C7" s="22">
        <v>22.461500000000001</v>
      </c>
      <c r="D7" s="24">
        <v>12.69</v>
      </c>
      <c r="E7" s="29">
        <f t="shared" si="0"/>
        <v>9.7715000000000014</v>
      </c>
      <c r="F7" s="12">
        <v>1.5469999999999999</v>
      </c>
      <c r="G7" s="25"/>
      <c r="H7" s="55">
        <v>1.3070000000000001E-4</v>
      </c>
      <c r="I7" s="55">
        <v>-9.2222899999999994E-5</v>
      </c>
      <c r="J7" s="55">
        <f>-2.19498*10^-6</f>
        <v>-2.19498E-6</v>
      </c>
      <c r="K7" s="55">
        <f>2.19498*10^-6</f>
        <v>2.19498E-6</v>
      </c>
      <c r="L7" s="55">
        <v>-2.2292300000000001E-4</v>
      </c>
      <c r="M7" s="55">
        <v>-2.2292300000000001E-4</v>
      </c>
      <c r="N7" s="55">
        <v>0.99247300000000005</v>
      </c>
    </row>
    <row r="8" spans="1:14" x14ac:dyDescent="0.25">
      <c r="A8" s="22">
        <v>92</v>
      </c>
      <c r="B8" s="22">
        <v>0.13086600000000001</v>
      </c>
      <c r="C8" s="54">
        <v>16.628599999999999</v>
      </c>
      <c r="D8" s="24">
        <v>6.63</v>
      </c>
      <c r="E8" s="29">
        <f t="shared" si="0"/>
        <v>9.9985999999999997</v>
      </c>
      <c r="F8" s="12">
        <v>1.5249999999999999</v>
      </c>
      <c r="G8" s="25"/>
      <c r="H8" s="56">
        <v>-8.5349199999999999E-5</v>
      </c>
      <c r="I8" s="55">
        <v>-2.6870699999999997E-4</v>
      </c>
      <c r="J8" s="55">
        <v>-1.23144E-5</v>
      </c>
      <c r="K8" s="55">
        <f>0.0000123144</f>
        <v>1.23144E-5</v>
      </c>
      <c r="L8" s="55">
        <v>-1.83358E-4</v>
      </c>
      <c r="M8" s="55">
        <v>-1.83358E-4</v>
      </c>
      <c r="N8" s="55">
        <v>0.99626099999999995</v>
      </c>
    </row>
    <row r="9" spans="1:14" x14ac:dyDescent="0.25">
      <c r="A9" s="22">
        <v>119</v>
      </c>
      <c r="B9" s="12">
        <v>0.145374</v>
      </c>
      <c r="C9" s="22">
        <v>18.343800000000002</v>
      </c>
      <c r="D9" s="24">
        <v>9.16</v>
      </c>
      <c r="E9" s="29">
        <f t="shared" si="0"/>
        <v>9.1838000000000015</v>
      </c>
      <c r="F9" s="12">
        <v>1.538</v>
      </c>
      <c r="G9" s="25"/>
      <c r="H9" s="55">
        <v>3.0508400000000001E-5</v>
      </c>
      <c r="I9" s="55">
        <v>-1.58982E-4</v>
      </c>
      <c r="J9" s="55">
        <f>-5.21591*10^-6</f>
        <v>-5.2159100000000002E-6</v>
      </c>
      <c r="K9" s="55">
        <f>5.21591*10^-6</f>
        <v>5.2159100000000002E-6</v>
      </c>
      <c r="L9" s="55">
        <v>-1.8949099999999999E-4</v>
      </c>
      <c r="M9" s="55">
        <v>-1.8949099999999999E-4</v>
      </c>
      <c r="N9" s="55">
        <v>0.99627600000000005</v>
      </c>
    </row>
    <row r="10" spans="1:14" x14ac:dyDescent="0.25">
      <c r="A10" s="22">
        <v>139</v>
      </c>
      <c r="B10" s="12">
        <v>0.14402400000000001</v>
      </c>
      <c r="C10" s="22">
        <v>17.059999999999999</v>
      </c>
      <c r="D10" s="24">
        <v>9.8699999999999992</v>
      </c>
      <c r="E10" s="29">
        <f t="shared" si="0"/>
        <v>7.1899999999999995</v>
      </c>
      <c r="F10" s="12">
        <v>1.53</v>
      </c>
      <c r="G10" s="25"/>
      <c r="H10" s="56">
        <v>-1.67206E-5</v>
      </c>
      <c r="I10" s="55">
        <v>-1.7641900000000001E-4</v>
      </c>
      <c r="J10" s="55">
        <f>-7.20123*10^-6</f>
        <v>-7.2012299999999993E-6</v>
      </c>
      <c r="K10" s="55">
        <f>7.20123*10^-6</f>
        <v>7.2012299999999993E-6</v>
      </c>
      <c r="L10" s="55">
        <v>-1.59698E-4</v>
      </c>
      <c r="M10" s="55">
        <v>-1.59698E-4</v>
      </c>
      <c r="N10" s="55">
        <v>0.99576799999999999</v>
      </c>
    </row>
    <row r="11" spans="1:14" x14ac:dyDescent="0.25">
      <c r="A11" s="22">
        <v>155</v>
      </c>
      <c r="B11" s="22">
        <v>0.14504900000000001</v>
      </c>
      <c r="C11" s="22">
        <v>23.12</v>
      </c>
      <c r="D11" s="24">
        <v>12</v>
      </c>
      <c r="E11" s="29">
        <f t="shared" si="0"/>
        <v>11.120000000000001</v>
      </c>
      <c r="F11" s="12">
        <v>1.5389999999999999</v>
      </c>
      <c r="G11" s="25"/>
      <c r="H11" s="55">
        <v>1.5316700000000001E-4</v>
      </c>
      <c r="I11" s="55">
        <v>-9.7165700000000004E-5</v>
      </c>
      <c r="J11" s="55">
        <f>-3.09055*10^-6</f>
        <v>-3.0905499999999996E-6</v>
      </c>
      <c r="K11" s="55">
        <f>3.09055*10^-6</f>
        <v>3.0905499999999996E-6</v>
      </c>
      <c r="L11" s="55">
        <v>-2.5033199999999997E-4</v>
      </c>
      <c r="M11" s="55">
        <v>-2.5033199999999997E-4</v>
      </c>
      <c r="N11" s="55">
        <v>0.99413700000000005</v>
      </c>
    </row>
    <row r="12" spans="1:14" ht="15" customHeight="1" x14ac:dyDescent="0.25">
      <c r="A12" s="22">
        <v>176</v>
      </c>
      <c r="B12" s="12">
        <v>0.14796799999999999</v>
      </c>
      <c r="C12" s="25">
        <v>22.384599999999999</v>
      </c>
      <c r="D12" s="25">
        <v>12.81</v>
      </c>
      <c r="E12" s="29">
        <f t="shared" si="0"/>
        <v>9.5745999999999984</v>
      </c>
      <c r="F12" s="12">
        <v>1.544</v>
      </c>
      <c r="G12" s="25"/>
      <c r="H12" s="55">
        <v>1.2444499999999999E-4</v>
      </c>
      <c r="I12" s="55">
        <v>-9.4633400000000001E-5</v>
      </c>
      <c r="J12" s="55">
        <f>-2.53643*10^-6</f>
        <v>-2.53643E-6</v>
      </c>
      <c r="K12" s="55">
        <f>2.53643*10^-6</f>
        <v>2.53643E-6</v>
      </c>
      <c r="L12" s="55">
        <v>-2.1907799999999999E-4</v>
      </c>
      <c r="M12" s="55">
        <v>-2.1907799999999999E-4</v>
      </c>
      <c r="N12" s="55">
        <v>0.99351100000000003</v>
      </c>
    </row>
    <row r="13" spans="1:14" x14ac:dyDescent="0.25">
      <c r="A13" s="22">
        <v>189</v>
      </c>
      <c r="B13" s="12">
        <v>0.15284600000000001</v>
      </c>
      <c r="C13" s="22">
        <v>25.434799999999999</v>
      </c>
      <c r="D13" s="24">
        <v>14.65</v>
      </c>
      <c r="E13" s="29">
        <f t="shared" si="0"/>
        <v>10.784799999999999</v>
      </c>
      <c r="F13" s="12">
        <v>1.5549999999999999</v>
      </c>
      <c r="G13" s="25"/>
      <c r="H13" s="57">
        <v>1.7938900000000001E-4</v>
      </c>
      <c r="I13" s="55">
        <v>-7.8760199999999999E-5</v>
      </c>
      <c r="J13" s="55">
        <f>-1.24422*10^-6</f>
        <v>-1.24422E-6</v>
      </c>
      <c r="K13" s="55">
        <f>1.24422*10^-6</f>
        <v>1.24422E-6</v>
      </c>
      <c r="L13" s="55">
        <v>-2.58149E-4</v>
      </c>
      <c r="M13" s="55">
        <v>-2.58149E-4</v>
      </c>
      <c r="N13" s="55">
        <v>0.99315100000000001</v>
      </c>
    </row>
    <row r="14" spans="1:14" x14ac:dyDescent="0.25">
      <c r="A14" s="22">
        <v>257</v>
      </c>
      <c r="B14" s="25">
        <v>0.14790400000000001</v>
      </c>
      <c r="C14" s="22">
        <v>21.592600000000001</v>
      </c>
      <c r="D14" s="24">
        <v>9.6999999999999993</v>
      </c>
      <c r="E14" s="29">
        <f t="shared" si="0"/>
        <v>11.892600000000002</v>
      </c>
      <c r="F14" s="12">
        <v>1.5449999999999999</v>
      </c>
      <c r="G14" s="25"/>
      <c r="H14" s="57">
        <v>1.24115E-4</v>
      </c>
      <c r="I14" s="55">
        <v>-1.18399E-4</v>
      </c>
      <c r="J14" s="55">
        <f>-3.05493*10^-6</f>
        <v>-3.0549300000000002E-6</v>
      </c>
      <c r="K14" s="55">
        <f>3.05493*10^-6</f>
        <v>3.0549300000000002E-6</v>
      </c>
      <c r="L14" s="55">
        <v>-2.4251399999999999E-4</v>
      </c>
      <c r="M14" s="55">
        <v>-2.4251399999999999E-4</v>
      </c>
      <c r="N14" s="55">
        <v>0.99435499999999999</v>
      </c>
    </row>
    <row r="15" spans="1:14" x14ac:dyDescent="0.25">
      <c r="A15" s="22">
        <v>279</v>
      </c>
      <c r="B15" s="26">
        <v>0.15754399999999999</v>
      </c>
      <c r="C15" s="25">
        <v>20.1035</v>
      </c>
      <c r="D15" s="28">
        <v>11.41</v>
      </c>
      <c r="E15" s="29">
        <f t="shared" si="0"/>
        <v>8.6935000000000002</v>
      </c>
      <c r="F15" s="12">
        <v>1.538</v>
      </c>
      <c r="G15" s="25"/>
      <c r="H15" s="55">
        <v>1.03127E-4</v>
      </c>
      <c r="I15" s="55">
        <v>-9.4105599999999996E-5</v>
      </c>
      <c r="J15" s="55">
        <f>-3.08743*10^-6</f>
        <v>-3.0874299999999998E-6</v>
      </c>
      <c r="K15" s="55">
        <f>3.08743*10^-6</f>
        <v>3.0874299999999998E-6</v>
      </c>
      <c r="L15" s="55">
        <v>-1.97233E-4</v>
      </c>
      <c r="M15" s="55">
        <v>-1.97233E-4</v>
      </c>
      <c r="N15" s="55">
        <v>0.99465000000000003</v>
      </c>
    </row>
    <row r="16" spans="1:14" x14ac:dyDescent="0.25">
      <c r="A16" s="22">
        <v>330</v>
      </c>
      <c r="B16" s="22">
        <v>0.165769</v>
      </c>
      <c r="C16" s="25">
        <v>19.384599999999999</v>
      </c>
      <c r="D16" s="24">
        <v>11.01</v>
      </c>
      <c r="E16" s="29">
        <f t="shared" si="0"/>
        <v>8.3745999999999992</v>
      </c>
      <c r="F16" s="12">
        <v>1.538</v>
      </c>
      <c r="G16" s="25"/>
      <c r="H16" s="52">
        <v>1.02188E-4</v>
      </c>
      <c r="I16">
        <v>-8.8092799999999998E-5</v>
      </c>
      <c r="J16">
        <f>-2.89016*10^-6</f>
        <v>-2.8901599999999996E-6</v>
      </c>
      <c r="K16">
        <f>2.89016*10^-6</f>
        <v>2.8901599999999996E-6</v>
      </c>
      <c r="L16">
        <v>-1.9028099999999999E-4</v>
      </c>
      <c r="M16">
        <v>-1.9028099999999999E-4</v>
      </c>
      <c r="N16">
        <v>0.99636899999999995</v>
      </c>
    </row>
    <row r="17" spans="1:14" x14ac:dyDescent="0.25">
      <c r="A17" s="22">
        <v>348</v>
      </c>
      <c r="B17" s="22">
        <v>0.17364499999999999</v>
      </c>
      <c r="C17" s="22">
        <v>17.176500000000001</v>
      </c>
      <c r="D17" s="24">
        <v>10.18</v>
      </c>
      <c r="E17" s="29">
        <f t="shared" si="0"/>
        <v>6.9965000000000011</v>
      </c>
      <c r="F17" s="12">
        <v>1.5369999999999999</v>
      </c>
      <c r="G17" s="25"/>
      <c r="H17" s="52">
        <v>6.1112300000000001E-5</v>
      </c>
      <c r="I17">
        <v>-9.7677300000000001E-5</v>
      </c>
      <c r="J17">
        <f>-3.30239*10^-6</f>
        <v>-3.3023899999999996E-6</v>
      </c>
      <c r="K17">
        <f>3.30239*10^-6</f>
        <v>3.3023899999999996E-6</v>
      </c>
      <c r="L17">
        <v>-1.5878999999999999E-4</v>
      </c>
      <c r="M17">
        <v>-1.5878999999999999E-4</v>
      </c>
      <c r="N17">
        <v>0.99675499999999995</v>
      </c>
    </row>
    <row r="18" spans="1:14" x14ac:dyDescent="0.25">
      <c r="A18" s="22">
        <v>409</v>
      </c>
      <c r="B18" s="22">
        <v>0.12715799999999999</v>
      </c>
      <c r="C18" s="22">
        <v>16.6571</v>
      </c>
      <c r="D18" s="24">
        <v>8.09</v>
      </c>
      <c r="E18" s="29">
        <f t="shared" si="0"/>
        <v>8.5670999999999999</v>
      </c>
      <c r="F18" s="12">
        <v>1.532</v>
      </c>
      <c r="G18" s="25"/>
      <c r="H18" s="8">
        <v>-1.43335E-4</v>
      </c>
      <c r="I18">
        <v>-3.1464299999999998E-4</v>
      </c>
      <c r="J18">
        <v>-1.22131E-5</v>
      </c>
      <c r="K18">
        <f>0.0000122131</f>
        <v>1.22131E-5</v>
      </c>
      <c r="L18">
        <v>-1.7130800000000001E-4</v>
      </c>
      <c r="M18">
        <v>-1.7130800000000001E-4</v>
      </c>
      <c r="N18">
        <v>0.99518300000000004</v>
      </c>
    </row>
    <row r="19" spans="1:14" x14ac:dyDescent="0.25">
      <c r="A19" s="22">
        <v>476</v>
      </c>
      <c r="B19" s="25">
        <v>0.16578300000000001</v>
      </c>
      <c r="C19" s="22">
        <v>18.1875</v>
      </c>
      <c r="D19" s="24">
        <v>10.44</v>
      </c>
      <c r="E19" s="29">
        <f t="shared" si="0"/>
        <v>7.7475000000000005</v>
      </c>
      <c r="F19" s="12">
        <v>1.532</v>
      </c>
      <c r="G19" s="25"/>
      <c r="H19">
        <v>8.0433300000000001E-5</v>
      </c>
      <c r="I19">
        <v>-9.5150599999999997E-5</v>
      </c>
      <c r="J19">
        <f>-3.69335*10^-6</f>
        <v>-3.69335E-6</v>
      </c>
      <c r="K19">
        <f>3.69335*10^-6</f>
        <v>3.69335E-6</v>
      </c>
      <c r="L19">
        <v>-1.75584E-4</v>
      </c>
      <c r="M19">
        <v>-1.75584E-4</v>
      </c>
      <c r="N19">
        <v>0.99599099999999996</v>
      </c>
    </row>
    <row r="20" spans="1:14" x14ac:dyDescent="0.25">
      <c r="A20" s="22">
        <v>512</v>
      </c>
      <c r="B20" s="22">
        <v>0.16106200000000001</v>
      </c>
      <c r="C20" s="22">
        <v>22.461500000000001</v>
      </c>
      <c r="D20" s="24">
        <v>12.92</v>
      </c>
      <c r="E20" s="29">
        <f t="shared" si="0"/>
        <v>9.541500000000001</v>
      </c>
      <c r="F20" s="12">
        <v>1.552</v>
      </c>
      <c r="G20" s="25"/>
      <c r="H20">
        <v>1.40359E-4</v>
      </c>
      <c r="I20">
        <v>-8.1033999999999997E-5</v>
      </c>
      <c r="J20">
        <f>-1.52332*10^-6</f>
        <v>-1.52332E-6</v>
      </c>
      <c r="K20">
        <f>1.52332*10^-6</f>
        <v>1.52332E-6</v>
      </c>
      <c r="L20">
        <v>-2.2139300000000001E-4</v>
      </c>
      <c r="M20">
        <v>-2.2139300000000001E-4</v>
      </c>
      <c r="N20">
        <v>0.994363</v>
      </c>
    </row>
    <row r="21" spans="1:14" x14ac:dyDescent="0.25">
      <c r="A21" s="22">
        <v>540</v>
      </c>
      <c r="B21" s="22">
        <v>0.15812899999999999</v>
      </c>
      <c r="C21" s="22">
        <v>23.492899999999999</v>
      </c>
      <c r="D21" s="24">
        <v>13.67</v>
      </c>
      <c r="E21" s="29">
        <f t="shared" si="0"/>
        <v>9.8228999999999989</v>
      </c>
      <c r="F21" s="12">
        <v>1.542</v>
      </c>
      <c r="G21" s="25"/>
      <c r="H21">
        <v>1.64449E-4</v>
      </c>
      <c r="I21">
        <v>-7.1633100000000004E-5</v>
      </c>
      <c r="J21">
        <f>-2.06334*10^-6</f>
        <v>-2.0633400000000001E-6</v>
      </c>
      <c r="K21">
        <f>2.06334*10^-6</f>
        <v>2.0633400000000001E-6</v>
      </c>
      <c r="L21">
        <v>-2.3608200000000001E-4</v>
      </c>
      <c r="M21">
        <v>-2.3608200000000001E-4</v>
      </c>
      <c r="N21">
        <v>0.99481900000000001</v>
      </c>
    </row>
    <row r="22" spans="1:14" x14ac:dyDescent="0.25">
      <c r="A22" s="22">
        <v>602</v>
      </c>
      <c r="B22" s="22">
        <v>0.139766</v>
      </c>
      <c r="C22" s="22">
        <v>25.130400000000002</v>
      </c>
      <c r="D22" s="24">
        <v>11.3</v>
      </c>
      <c r="E22" s="29">
        <f t="shared" si="0"/>
        <v>13.830400000000001</v>
      </c>
      <c r="F22" s="12">
        <v>1.548</v>
      </c>
      <c r="G22" s="25"/>
      <c r="H22">
        <v>1.8372500000000001E-4</v>
      </c>
      <c r="I22">
        <v>-1.13262E-4</v>
      </c>
      <c r="J22">
        <f>-2.58241*10^-6</f>
        <v>-2.5824099999999999E-6</v>
      </c>
      <c r="K22">
        <f>2.58241*10^-6</f>
        <v>2.5824099999999999E-6</v>
      </c>
      <c r="L22">
        <v>-2.9698700000000002E-4</v>
      </c>
      <c r="M22">
        <v>-2.9698700000000002E-4</v>
      </c>
      <c r="N22">
        <v>0.99269399999999997</v>
      </c>
    </row>
    <row r="23" spans="1:14" x14ac:dyDescent="0.25">
      <c r="A23" s="22">
        <v>615</v>
      </c>
      <c r="B23" s="22">
        <v>0.13641500000000001</v>
      </c>
      <c r="C23" s="22">
        <v>20.1724</v>
      </c>
      <c r="D23" s="24">
        <v>11.76</v>
      </c>
      <c r="E23" s="29">
        <f t="shared" si="0"/>
        <v>8.4123999999999999</v>
      </c>
      <c r="F23" s="12">
        <v>1.5389999999999999</v>
      </c>
      <c r="G23" s="25"/>
      <c r="H23">
        <v>4.2970499999999998E-5</v>
      </c>
      <c r="I23">
        <v>-1.45566E-4</v>
      </c>
      <c r="J23">
        <f>-4.63004*10^-6</f>
        <v>-4.63004E-6</v>
      </c>
      <c r="K23">
        <f>4.63004*10^-6</f>
        <v>4.63004E-6</v>
      </c>
      <c r="L23">
        <v>-1.8853699999999999E-4</v>
      </c>
      <c r="M23">
        <v>-1.8853699999999999E-4</v>
      </c>
      <c r="N23">
        <v>0.99469200000000002</v>
      </c>
    </row>
    <row r="24" spans="1:14" x14ac:dyDescent="0.25">
      <c r="A24" s="22">
        <v>640</v>
      </c>
      <c r="B24" s="22">
        <v>0.16347500000000001</v>
      </c>
      <c r="C24" s="22">
        <v>20.206900000000001</v>
      </c>
      <c r="D24" s="24">
        <v>11.1</v>
      </c>
      <c r="E24" s="29">
        <f t="shared" si="0"/>
        <v>9.1069000000000013</v>
      </c>
      <c r="F24" s="12">
        <v>1.5449999999999999</v>
      </c>
      <c r="G24" s="25"/>
      <c r="H24">
        <v>1.116E-4</v>
      </c>
      <c r="I24">
        <v>-9.2029599999999997E-5</v>
      </c>
      <c r="J24">
        <f>-2.37455*10^-6</f>
        <v>-2.37455E-6</v>
      </c>
      <c r="K24">
        <f>2.37455*10^-6</f>
        <v>2.37455E-6</v>
      </c>
      <c r="L24">
        <v>-2.0363E-4</v>
      </c>
      <c r="M24">
        <v>-2.0363E-4</v>
      </c>
      <c r="N24">
        <v>0.99520299999999995</v>
      </c>
    </row>
    <row r="25" spans="1:14" x14ac:dyDescent="0.25">
      <c r="A25" s="22">
        <v>689</v>
      </c>
      <c r="B25" s="22">
        <v>0.17294000000000001</v>
      </c>
      <c r="C25" s="22">
        <v>18.9666</v>
      </c>
      <c r="D25" s="24">
        <v>9.39</v>
      </c>
      <c r="E25" s="29">
        <f t="shared" si="0"/>
        <v>9.5765999999999991</v>
      </c>
      <c r="F25" s="12">
        <v>1.548</v>
      </c>
      <c r="G25" s="25"/>
      <c r="H25">
        <v>1.05336E-4</v>
      </c>
      <c r="I25">
        <v>-9.7320599999999998E-5</v>
      </c>
      <c r="J25">
        <f>-2.21894*10^-6</f>
        <v>-2.2189399999999999E-6</v>
      </c>
      <c r="K25">
        <f>2.21894*10^-6</f>
        <v>2.2189399999999999E-6</v>
      </c>
      <c r="L25">
        <v>-2.0265699999999999E-4</v>
      </c>
      <c r="M25">
        <v>-2.0265699999999999E-4</v>
      </c>
      <c r="N25">
        <v>0.996</v>
      </c>
    </row>
    <row r="26" spans="1:14" x14ac:dyDescent="0.25">
      <c r="A26" s="22">
        <v>717</v>
      </c>
      <c r="B26" s="22">
        <v>0.121597</v>
      </c>
      <c r="C26" s="22">
        <v>17.908799999999999</v>
      </c>
      <c r="D26" s="24">
        <v>10.38</v>
      </c>
      <c r="E26" s="29">
        <f t="shared" si="0"/>
        <v>7.5287999999999986</v>
      </c>
      <c r="F26" s="12">
        <v>1.5469999999999999</v>
      </c>
      <c r="G26" s="25"/>
      <c r="H26" s="8">
        <v>-1.79574E-4</v>
      </c>
      <c r="I26">
        <v>-3.4223599999999999E-4</v>
      </c>
      <c r="J26">
        <f>-8.14549*10^-6</f>
        <v>-8.1454899999999995E-6</v>
      </c>
      <c r="K26">
        <f>8.14549*10^-6</f>
        <v>8.1454899999999995E-6</v>
      </c>
      <c r="L26">
        <v>-1.62662E-4</v>
      </c>
      <c r="M26">
        <v>-1.62662E-4</v>
      </c>
      <c r="N26">
        <v>0.99481799999999998</v>
      </c>
    </row>
    <row r="27" spans="1:14" x14ac:dyDescent="0.25">
      <c r="A27" s="22">
        <v>721</v>
      </c>
      <c r="B27" s="22">
        <v>0.14624000000000001</v>
      </c>
      <c r="C27" s="22">
        <v>22.423100000000002</v>
      </c>
      <c r="D27" s="24">
        <v>13</v>
      </c>
      <c r="E27" s="29">
        <f t="shared" si="0"/>
        <v>9.4231000000000016</v>
      </c>
      <c r="F27" s="12">
        <v>1.5449999999999999</v>
      </c>
      <c r="G27" s="25"/>
      <c r="H27">
        <v>1.18319E-4</v>
      </c>
      <c r="I27">
        <v>-9.7374199999999993E-5</v>
      </c>
      <c r="J27">
        <f>-2.51245*10^-6</f>
        <v>-2.5124499999999996E-6</v>
      </c>
      <c r="K27">
        <f>2.51245*10^-6</f>
        <v>2.5124499999999996E-6</v>
      </c>
      <c r="L27">
        <v>-2.1569300000000001E-4</v>
      </c>
      <c r="M27">
        <v>-2.1569300000000001E-4</v>
      </c>
      <c r="N27">
        <v>0.99374899999999999</v>
      </c>
    </row>
    <row r="28" spans="1:14" x14ac:dyDescent="0.25">
      <c r="A28" s="22">
        <v>728</v>
      </c>
      <c r="B28" s="22">
        <v>0.16098699999999999</v>
      </c>
      <c r="C28" s="22">
        <v>21.703700000000001</v>
      </c>
      <c r="D28" s="24">
        <v>12.89</v>
      </c>
      <c r="E28" s="29">
        <f t="shared" si="0"/>
        <v>8.8137000000000008</v>
      </c>
      <c r="F28" s="12">
        <v>1.55</v>
      </c>
      <c r="G28" s="25"/>
      <c r="H28">
        <v>1.2275200000000001E-4</v>
      </c>
      <c r="I28">
        <v>-8.1933099999999997E-5</v>
      </c>
      <c r="J28">
        <f>-1.70415*10^-6</f>
        <v>-1.70415E-6</v>
      </c>
      <c r="K28">
        <f>1.70415*10^-6</f>
        <v>1.70415E-6</v>
      </c>
      <c r="L28">
        <v>-2.04685E-4</v>
      </c>
      <c r="M28">
        <v>-2.04685E-4</v>
      </c>
      <c r="N28">
        <v>0.99481399999999998</v>
      </c>
    </row>
    <row r="29" spans="1:14" x14ac:dyDescent="0.25">
      <c r="A29" s="22">
        <v>741</v>
      </c>
      <c r="B29" s="25">
        <v>0.16111700000000001</v>
      </c>
      <c r="C29" s="22">
        <v>21.6296</v>
      </c>
      <c r="D29" s="24">
        <v>11.44</v>
      </c>
      <c r="E29" s="29">
        <f t="shared" si="0"/>
        <v>10.1896</v>
      </c>
      <c r="F29" s="12">
        <v>1.5429999999999999</v>
      </c>
      <c r="G29" s="25"/>
      <c r="H29">
        <v>1.44485E-4</v>
      </c>
      <c r="I29">
        <v>-8.65333E-5</v>
      </c>
      <c r="J29">
        <f>-2.40593*10^-6</f>
        <v>-2.4059300000000001E-6</v>
      </c>
      <c r="K29">
        <f>2.40593*10^-6</f>
        <v>2.4059300000000001E-6</v>
      </c>
      <c r="L29">
        <v>-2.3101799999999999E-4</v>
      </c>
      <c r="M29">
        <v>-2.3101799999999999E-4</v>
      </c>
      <c r="N29">
        <v>0.99363100000000004</v>
      </c>
    </row>
    <row r="30" spans="1:14" x14ac:dyDescent="0.25">
      <c r="A30" s="22">
        <v>754</v>
      </c>
      <c r="B30" s="25">
        <v>0.156554</v>
      </c>
      <c r="C30" s="22">
        <v>19.541799999999999</v>
      </c>
      <c r="D30" s="24">
        <v>11.17</v>
      </c>
      <c r="E30" s="29">
        <f t="shared" si="0"/>
        <v>8.3717999999999986</v>
      </c>
      <c r="F30" s="25">
        <v>1.534</v>
      </c>
      <c r="G30" s="25"/>
      <c r="H30">
        <v>9.2657800000000006E-5</v>
      </c>
      <c r="I30">
        <v>-9.7456799999999998E-5</v>
      </c>
      <c r="J30">
        <f>-3.58767*10^-6</f>
        <v>-3.58767E-6</v>
      </c>
      <c r="K30">
        <f>3.58767*10^-6</f>
        <v>3.58767E-6</v>
      </c>
      <c r="L30">
        <v>-1.9011500000000001E-4</v>
      </c>
      <c r="M30">
        <v>-1.9011500000000001E-4</v>
      </c>
      <c r="N30">
        <v>0.99565700000000001</v>
      </c>
    </row>
    <row r="31" spans="1:14" ht="15.75" thickBot="1" x14ac:dyDescent="0.3">
      <c r="A31" s="22">
        <v>764</v>
      </c>
      <c r="B31" s="22">
        <v>0.15987100000000001</v>
      </c>
      <c r="C31" s="22">
        <v>22.576899999999998</v>
      </c>
      <c r="D31" s="24">
        <v>13.04</v>
      </c>
      <c r="E31" s="29">
        <f t="shared" si="0"/>
        <v>9.5368999999999993</v>
      </c>
      <c r="F31" s="30">
        <v>1.548</v>
      </c>
      <c r="G31" s="58"/>
      <c r="H31">
        <v>1.4436000000000001E-4</v>
      </c>
      <c r="I31">
        <v>-7.8783500000000002E-5</v>
      </c>
      <c r="J31">
        <f>-1.79629*10^-6</f>
        <v>-1.7962899999999998E-6</v>
      </c>
      <c r="K31">
        <f>1.79629*10^-6</f>
        <v>1.7962899999999998E-6</v>
      </c>
      <c r="L31">
        <v>-2.23143E-4</v>
      </c>
      <c r="M31">
        <v>-2.23143E-4</v>
      </c>
      <c r="N31">
        <v>0.99493500000000001</v>
      </c>
    </row>
    <row r="32" spans="1:14" x14ac:dyDescent="0.25">
      <c r="A32" s="43" t="s">
        <v>6</v>
      </c>
      <c r="B32" s="39">
        <f>AVERAGE(B4:B5,B7,B9,B11:B17,B19:B25,B27:B31)</f>
        <v>0.15508630434782608</v>
      </c>
      <c r="C32" s="39">
        <f t="shared" ref="C32:D32" si="1">AVERAGE(C4:C5,C7,C9,C11:C17,C19:C25,C27:C31)</f>
        <v>21.192734782608699</v>
      </c>
      <c r="D32" s="39">
        <f t="shared" si="1"/>
        <v>11.673478260869564</v>
      </c>
      <c r="E32" s="39">
        <f>AVERAGE(E4:E5,E7,E9,E11:E17,E19:E25,E27:E31)</f>
        <v>9.5192565217391323</v>
      </c>
      <c r="F32" s="39">
        <f>AVERAGE(F4:F5,F7,F9,F11:F17,F19:F25,F27:F31)</f>
        <v>1.5424782608695657</v>
      </c>
      <c r="G32" s="63" t="s">
        <v>52</v>
      </c>
      <c r="H32" s="39">
        <f>-AVERAGE(H4:H5,H7,H9,H11:H17,H19:H25,H27:H31)</f>
        <v>-1.154973391304348E-4</v>
      </c>
      <c r="I32" s="39">
        <f>-AVERAGE(I4:I5,I7,I9,I11:I17,I19:I25,I27:I31)</f>
        <v>9.8669960869565216E-5</v>
      </c>
      <c r="J32" s="39">
        <f t="shared" ref="J32:N32" si="2">AVERAGE(J4:J5,J7,J9,J11:J17,J19:J25,J27:J31)</f>
        <v>-2.8380960869565212E-6</v>
      </c>
      <c r="K32" s="39">
        <f t="shared" si="2"/>
        <v>2.8380960869565212E-6</v>
      </c>
      <c r="L32" s="39">
        <f t="shared" si="2"/>
        <v>-2.1416734782608697E-4</v>
      </c>
      <c r="M32" s="39">
        <f t="shared" si="2"/>
        <v>-2.1416734782608697E-4</v>
      </c>
      <c r="N32" s="39">
        <f t="shared" si="2"/>
        <v>0.99455326086956541</v>
      </c>
    </row>
    <row r="33" spans="1:14" ht="15.75" thickBot="1" x14ac:dyDescent="0.3">
      <c r="A33" s="45" t="s">
        <v>7</v>
      </c>
      <c r="B33" s="19">
        <f>_xlfn.STDEV.P(B27:B31,B19:B25,B11:B17,B9,B7,B4:B5)</f>
        <v>9.7848719812770723E-3</v>
      </c>
      <c r="C33" s="19">
        <f t="shared" ref="C33:D33" si="3">_xlfn.STDEV.P(C27:C31,C19:C25,C11:C17,C9,C7,C4:C5)</f>
        <v>2.1061517077792553</v>
      </c>
      <c r="D33" s="19">
        <f t="shared" si="3"/>
        <v>1.3961051682562193</v>
      </c>
      <c r="E33" s="19">
        <f>_xlfn.STDEV.P(E27:E31,E19:E25,E11:E17,E9,E7,E4:E5)</f>
        <v>1.3861726894821649</v>
      </c>
      <c r="F33" s="19">
        <f>_xlfn.STDEV.P(F27:F31,F19:F25,F11:F17,F9,F7,F4:F5)</f>
        <v>6.0639316075169255E-3</v>
      </c>
      <c r="G33" s="46" t="s">
        <v>53</v>
      </c>
      <c r="H33" s="19">
        <f>_xlfn.STDEV.P(H27:H31,H19:H25,H11:H17,H9,H7,H4:H5)</f>
        <v>3.8383552269075057E-5</v>
      </c>
      <c r="I33" s="19">
        <f t="shared" ref="I33:N33" si="4">_xlfn.STDEV.P(I27:I31,I19:I25,I11:I17,I9,I7,I4:I5)</f>
        <v>1.9965556535361835E-5</v>
      </c>
      <c r="J33" s="19">
        <f t="shared" si="4"/>
        <v>9.597633436006351E-7</v>
      </c>
      <c r="K33" s="19">
        <f t="shared" si="4"/>
        <v>9.597633436006351E-7</v>
      </c>
      <c r="L33" s="19">
        <f t="shared" si="4"/>
        <v>2.9322556787815575E-5</v>
      </c>
      <c r="M33" s="19">
        <f t="shared" si="4"/>
        <v>2.9322556787815575E-5</v>
      </c>
      <c r="N33" s="19">
        <f t="shared" si="4"/>
        <v>1.2264676467272947E-3</v>
      </c>
    </row>
    <row r="34" spans="1:14" x14ac:dyDescent="0.25">
      <c r="A34" s="45" t="s">
        <v>8</v>
      </c>
      <c r="B34" s="12">
        <f>B32+B33</f>
        <v>0.16487117632910314</v>
      </c>
      <c r="C34" s="42"/>
      <c r="D34" s="42"/>
      <c r="E34" s="42"/>
      <c r="F34" s="42"/>
      <c r="G34" s="42"/>
    </row>
    <row r="35" spans="1:14" ht="15.75" thickBot="1" x14ac:dyDescent="0.3">
      <c r="A35" s="46" t="s">
        <v>9</v>
      </c>
      <c r="B35" s="47">
        <f>B32-B33</f>
        <v>0.14530143236654902</v>
      </c>
      <c r="C35" s="42"/>
      <c r="D35" s="42"/>
      <c r="E35" s="42"/>
      <c r="F35" s="42"/>
      <c r="G35" s="42"/>
    </row>
  </sheetData>
  <mergeCells count="1">
    <mergeCell ref="A2:F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N35"/>
  <sheetViews>
    <sheetView workbookViewId="0">
      <selection activeCell="H32" activeCellId="2" sqref="B32:C33 E32:F33 H32:N33"/>
    </sheetView>
  </sheetViews>
  <sheetFormatPr defaultRowHeight="15" x14ac:dyDescent="0.25"/>
  <cols>
    <col min="7" max="7" width="12.42578125" bestFit="1" customWidth="1"/>
    <col min="10" max="10" width="12.7109375" bestFit="1" customWidth="1"/>
    <col min="11" max="11" width="12" bestFit="1" customWidth="1"/>
  </cols>
  <sheetData>
    <row r="1" spans="1:14" ht="15.75" thickBot="1" x14ac:dyDescent="0.3">
      <c r="H1" t="s">
        <v>60</v>
      </c>
    </row>
    <row r="2" spans="1:14" x14ac:dyDescent="0.25">
      <c r="A2" s="212" t="s">
        <v>25</v>
      </c>
      <c r="B2" s="213"/>
      <c r="C2" s="213"/>
      <c r="D2" s="213"/>
      <c r="E2" s="213"/>
      <c r="F2" s="214"/>
      <c r="G2" s="42"/>
    </row>
    <row r="3" spans="1:14" ht="45" x14ac:dyDescent="0.25">
      <c r="A3" s="1" t="s">
        <v>1</v>
      </c>
      <c r="B3" s="2" t="s">
        <v>2</v>
      </c>
      <c r="C3" s="2" t="s">
        <v>19</v>
      </c>
      <c r="D3" s="2" t="s">
        <v>20</v>
      </c>
      <c r="E3" s="2" t="s">
        <v>44</v>
      </c>
      <c r="F3" s="3" t="s">
        <v>4</v>
      </c>
      <c r="G3" s="41" t="s">
        <v>5</v>
      </c>
      <c r="H3" s="3" t="s">
        <v>37</v>
      </c>
      <c r="I3" s="50" t="s">
        <v>39</v>
      </c>
      <c r="J3" s="50" t="s">
        <v>41</v>
      </c>
      <c r="K3" s="50" t="s">
        <v>38</v>
      </c>
      <c r="L3" s="3" t="s">
        <v>42</v>
      </c>
      <c r="M3" s="3" t="s">
        <v>40</v>
      </c>
      <c r="N3" s="50" t="s">
        <v>43</v>
      </c>
    </row>
    <row r="4" spans="1:14" x14ac:dyDescent="0.25">
      <c r="A4" s="22">
        <v>9</v>
      </c>
      <c r="B4" s="42">
        <v>0.15920500000000001</v>
      </c>
      <c r="C4" s="29">
        <v>20.785699999999999</v>
      </c>
      <c r="D4" s="29">
        <v>7.86</v>
      </c>
      <c r="E4" s="29">
        <f>C4-D4</f>
        <v>12.925699999999999</v>
      </c>
      <c r="F4" s="12">
        <v>1.5349999999999999</v>
      </c>
      <c r="G4" s="25" t="s">
        <v>61</v>
      </c>
      <c r="H4">
        <v>-1.5017200000000001E-4</v>
      </c>
      <c r="I4">
        <v>1.0676299999999999E-4</v>
      </c>
      <c r="J4">
        <f>-3.82334*10^-6</f>
        <v>-3.8233399999999997E-6</v>
      </c>
      <c r="K4">
        <f>-J4</f>
        <v>3.8233399999999997E-6</v>
      </c>
      <c r="L4">
        <f>I4-H4</f>
        <v>2.5693500000000002E-4</v>
      </c>
      <c r="M4">
        <v>2.5693500000000002E-4</v>
      </c>
      <c r="N4">
        <v>0.99875899999999995</v>
      </c>
    </row>
    <row r="5" spans="1:14" x14ac:dyDescent="0.25">
      <c r="A5" s="22">
        <v>22</v>
      </c>
      <c r="B5" s="29">
        <v>0.17031199999999999</v>
      </c>
      <c r="C5" s="29">
        <v>23.36</v>
      </c>
      <c r="D5" s="29">
        <v>15.24</v>
      </c>
      <c r="E5" s="29">
        <f t="shared" ref="E5:E31" si="0">C5-D5</f>
        <v>8.1199999999999992</v>
      </c>
      <c r="F5" s="12">
        <v>1.534</v>
      </c>
      <c r="G5" s="25"/>
      <c r="H5">
        <v>-1.58522E-4</v>
      </c>
      <c r="I5">
        <v>4.6828500000000001E-5</v>
      </c>
      <c r="J5">
        <f>-1.72389*10^-6</f>
        <v>-1.7238899999999999E-6</v>
      </c>
      <c r="K5">
        <f t="shared" ref="K5:K31" si="1">-J5</f>
        <v>1.7238899999999999E-6</v>
      </c>
      <c r="L5">
        <f t="shared" ref="L5:L31" si="2">I5-H5</f>
        <v>2.0535049999999998E-4</v>
      </c>
      <c r="M5">
        <v>2.0535E-4</v>
      </c>
      <c r="N5">
        <v>0.99790900000000005</v>
      </c>
    </row>
    <row r="6" spans="1:14" x14ac:dyDescent="0.25">
      <c r="A6" s="22">
        <v>55</v>
      </c>
      <c r="B6" s="42">
        <v>0.16772799999999999</v>
      </c>
      <c r="C6" s="29">
        <v>23.36</v>
      </c>
      <c r="D6" s="29">
        <v>14.84</v>
      </c>
      <c r="E6" s="29">
        <f t="shared" si="0"/>
        <v>8.52</v>
      </c>
      <c r="F6" s="12">
        <v>1.5469999999999999</v>
      </c>
      <c r="G6" s="25"/>
      <c r="H6">
        <v>-1.5187299999999999E-4</v>
      </c>
      <c r="I6">
        <v>5.8100499999999997E-5</v>
      </c>
      <c r="J6">
        <f>-1.38284*10^-6</f>
        <v>-1.38284E-6</v>
      </c>
      <c r="K6">
        <f t="shared" si="1"/>
        <v>1.38284E-6</v>
      </c>
      <c r="L6">
        <f t="shared" si="2"/>
        <v>2.0997349999999997E-4</v>
      </c>
      <c r="M6">
        <v>2.0997299999999999E-4</v>
      </c>
      <c r="N6">
        <v>0.99815299999999996</v>
      </c>
    </row>
    <row r="7" spans="1:14" x14ac:dyDescent="0.25">
      <c r="A7" s="22">
        <v>116</v>
      </c>
      <c r="B7" s="22">
        <v>0.18098500000000001</v>
      </c>
      <c r="C7" s="22">
        <v>21.592600000000001</v>
      </c>
      <c r="D7" s="24">
        <v>13.93</v>
      </c>
      <c r="E7" s="29">
        <f t="shared" si="0"/>
        <v>7.6626000000000012</v>
      </c>
      <c r="F7" s="12">
        <v>1.54</v>
      </c>
      <c r="G7" s="25"/>
      <c r="H7">
        <v>-1.4002700000000001E-4</v>
      </c>
      <c r="I7">
        <v>5.0288999999999999E-5</v>
      </c>
      <c r="J7">
        <f>-1.54921*10^-6</f>
        <v>-1.54921E-6</v>
      </c>
      <c r="K7">
        <f t="shared" si="1"/>
        <v>1.54921E-6</v>
      </c>
      <c r="L7">
        <f t="shared" si="2"/>
        <v>1.90316E-4</v>
      </c>
      <c r="M7">
        <v>1.90316E-4</v>
      </c>
      <c r="N7">
        <v>0.99861200000000006</v>
      </c>
    </row>
    <row r="8" spans="1:14" x14ac:dyDescent="0.25">
      <c r="A8" s="22">
        <v>157</v>
      </c>
      <c r="B8" s="22">
        <v>0.17981800000000001</v>
      </c>
      <c r="C8" s="23">
        <v>20.137899999999998</v>
      </c>
      <c r="D8" s="24">
        <v>13.34</v>
      </c>
      <c r="E8" s="29">
        <f t="shared" si="0"/>
        <v>6.7978999999999985</v>
      </c>
      <c r="F8" s="12">
        <v>1.5349999999999999</v>
      </c>
      <c r="G8" s="25"/>
      <c r="H8">
        <v>-1.13621E-4</v>
      </c>
      <c r="I8">
        <v>5.3317499999999999E-5</v>
      </c>
      <c r="J8">
        <f>-1.90939*10^-6</f>
        <v>-1.90939E-6</v>
      </c>
      <c r="K8">
        <f t="shared" si="1"/>
        <v>1.90939E-6</v>
      </c>
      <c r="L8">
        <f t="shared" si="2"/>
        <v>1.669385E-4</v>
      </c>
      <c r="M8">
        <v>1.6693799999999999E-4</v>
      </c>
      <c r="N8">
        <v>0.99917100000000003</v>
      </c>
    </row>
    <row r="9" spans="1:14" x14ac:dyDescent="0.25">
      <c r="A9" s="22">
        <v>194</v>
      </c>
      <c r="B9" s="12">
        <v>0.16151199999999999</v>
      </c>
      <c r="C9" s="22">
        <v>26.545500000000001</v>
      </c>
      <c r="D9" s="24">
        <v>16.86</v>
      </c>
      <c r="E9" s="29">
        <f t="shared" si="0"/>
        <v>9.6855000000000011</v>
      </c>
      <c r="F9" s="12">
        <v>1.5549999999999999</v>
      </c>
      <c r="G9" s="25"/>
      <c r="H9">
        <v>-1.88736E-4</v>
      </c>
      <c r="I9">
        <v>5.7339300000000002E-5</v>
      </c>
      <c r="J9">
        <f>-9.05826*10^-7</f>
        <v>-9.0582600000000005E-7</v>
      </c>
      <c r="K9">
        <f t="shared" si="1"/>
        <v>9.0582600000000005E-7</v>
      </c>
      <c r="L9">
        <f t="shared" si="2"/>
        <v>2.460753E-4</v>
      </c>
      <c r="M9">
        <v>2.46075E-4</v>
      </c>
      <c r="N9">
        <v>0.99832699999999996</v>
      </c>
    </row>
    <row r="10" spans="1:14" x14ac:dyDescent="0.25">
      <c r="A10" s="22">
        <v>227</v>
      </c>
      <c r="B10" s="12">
        <v>0.19040199999999999</v>
      </c>
      <c r="C10" s="22">
        <v>20.068999999999999</v>
      </c>
      <c r="D10" s="24">
        <v>13.69</v>
      </c>
      <c r="E10" s="29">
        <f t="shared" si="0"/>
        <v>6.3789999999999996</v>
      </c>
      <c r="F10" s="12">
        <v>1.5349999999999999</v>
      </c>
      <c r="G10" s="25"/>
      <c r="H10">
        <v>-1.15338E-4</v>
      </c>
      <c r="I10">
        <v>4.3838499999999997E-5</v>
      </c>
      <c r="J10">
        <f>-1.56993*10^-6</f>
        <v>-1.56993E-6</v>
      </c>
      <c r="K10">
        <f t="shared" si="1"/>
        <v>1.56993E-6</v>
      </c>
      <c r="L10">
        <f t="shared" si="2"/>
        <v>1.591765E-4</v>
      </c>
      <c r="M10">
        <v>1.5917700000000001E-4</v>
      </c>
      <c r="N10">
        <v>0.99909300000000001</v>
      </c>
    </row>
    <row r="11" spans="1:14" x14ac:dyDescent="0.25">
      <c r="A11" s="22">
        <v>302</v>
      </c>
      <c r="B11" s="22">
        <v>0.18698000000000001</v>
      </c>
      <c r="C11" s="22">
        <v>21.747</v>
      </c>
      <c r="D11" s="24">
        <v>14.6</v>
      </c>
      <c r="E11" s="29">
        <f t="shared" si="0"/>
        <v>7.1470000000000002</v>
      </c>
      <c r="F11" s="12">
        <v>1.5369999999999999</v>
      </c>
      <c r="G11" s="25"/>
      <c r="H11">
        <v>-1.39488E-4</v>
      </c>
      <c r="I11">
        <v>4.1453399999999999E-5</v>
      </c>
      <c r="J11">
        <f>-1.40151*10^-6</f>
        <v>-1.4015099999999999E-6</v>
      </c>
      <c r="K11">
        <f t="shared" si="1"/>
        <v>1.4015099999999999E-6</v>
      </c>
      <c r="L11">
        <f t="shared" si="2"/>
        <v>1.809414E-4</v>
      </c>
      <c r="M11">
        <v>1.80941E-4</v>
      </c>
      <c r="N11">
        <v>0.998197</v>
      </c>
    </row>
    <row r="12" spans="1:14" x14ac:dyDescent="0.25">
      <c r="A12" s="22">
        <v>353</v>
      </c>
      <c r="B12" s="12">
        <v>0.18546899999999999</v>
      </c>
      <c r="C12" s="25">
        <v>20.793700000000001</v>
      </c>
      <c r="D12" s="25">
        <v>14.21</v>
      </c>
      <c r="E12" s="29">
        <f t="shared" si="0"/>
        <v>6.5837000000000003</v>
      </c>
      <c r="F12" s="12">
        <v>1.53</v>
      </c>
      <c r="G12" s="25"/>
      <c r="H12">
        <v>-1.24521E-4</v>
      </c>
      <c r="I12">
        <v>4.1140999999999998E-5</v>
      </c>
      <c r="J12">
        <f>-1.67933*10^-6</f>
        <v>-1.6793299999999999E-6</v>
      </c>
      <c r="K12">
        <f t="shared" si="1"/>
        <v>1.6793299999999999E-6</v>
      </c>
      <c r="L12">
        <f t="shared" si="2"/>
        <v>1.6566199999999999E-4</v>
      </c>
      <c r="M12">
        <v>1.6566199999999999E-4</v>
      </c>
      <c r="N12">
        <v>0.99856</v>
      </c>
    </row>
    <row r="13" spans="1:14" x14ac:dyDescent="0.25">
      <c r="A13" s="22">
        <v>398</v>
      </c>
      <c r="B13" s="12">
        <v>0.160384</v>
      </c>
      <c r="C13" s="22">
        <v>17.176500000000001</v>
      </c>
      <c r="D13" s="24">
        <v>11.94</v>
      </c>
      <c r="E13" s="29">
        <f t="shared" si="0"/>
        <v>5.2365000000000013</v>
      </c>
      <c r="F13" s="12">
        <v>1.5229999999999999</v>
      </c>
      <c r="G13" s="25"/>
      <c r="H13">
        <v>-2.77762E-5</v>
      </c>
      <c r="I13">
        <v>9.9863400000000003E-5</v>
      </c>
      <c r="J13">
        <f>-4.77674*10^-6</f>
        <v>-4.7767399999999998E-6</v>
      </c>
      <c r="K13">
        <f t="shared" si="1"/>
        <v>4.7767399999999998E-6</v>
      </c>
      <c r="L13">
        <f t="shared" si="2"/>
        <v>1.2763960000000002E-4</v>
      </c>
      <c r="M13">
        <v>1.2763999999999999E-4</v>
      </c>
      <c r="N13">
        <v>0.99912900000000004</v>
      </c>
    </row>
    <row r="14" spans="1:14" x14ac:dyDescent="0.25">
      <c r="A14" s="22">
        <v>427</v>
      </c>
      <c r="B14" s="25">
        <v>0.17105600000000001</v>
      </c>
      <c r="C14" s="22">
        <v>18.25</v>
      </c>
      <c r="D14" s="24">
        <v>13.03</v>
      </c>
      <c r="E14" s="29">
        <f t="shared" si="0"/>
        <v>5.2200000000000006</v>
      </c>
      <c r="F14" s="12">
        <v>1.5249999999999999</v>
      </c>
      <c r="G14" s="25"/>
      <c r="H14">
        <v>-6.3189700000000003E-5</v>
      </c>
      <c r="I14">
        <v>6.6136799999999993E-5</v>
      </c>
      <c r="J14">
        <f>-3.03094*10^-6</f>
        <v>-3.0309399999999999E-6</v>
      </c>
      <c r="K14">
        <f t="shared" si="1"/>
        <v>3.0309399999999999E-6</v>
      </c>
      <c r="L14">
        <f t="shared" si="2"/>
        <v>1.2932649999999998E-4</v>
      </c>
      <c r="M14">
        <v>1.29326E-4</v>
      </c>
      <c r="N14">
        <v>0.99903799999999998</v>
      </c>
    </row>
    <row r="15" spans="1:14" x14ac:dyDescent="0.25">
      <c r="A15" s="22">
        <v>460</v>
      </c>
      <c r="B15" s="26">
        <v>0.17923600000000001</v>
      </c>
      <c r="C15" s="25">
        <v>20.1035</v>
      </c>
      <c r="D15" s="28">
        <v>13.79</v>
      </c>
      <c r="E15" s="29">
        <f t="shared" si="0"/>
        <v>6.3135000000000012</v>
      </c>
      <c r="F15" s="12">
        <v>1.53</v>
      </c>
      <c r="G15" s="25"/>
      <c r="H15">
        <v>-1.08341E-4</v>
      </c>
      <c r="I15">
        <v>4.8511199999999997E-5</v>
      </c>
      <c r="J15">
        <f>-1.98018*10^-6</f>
        <v>-1.98018E-6</v>
      </c>
      <c r="K15">
        <f t="shared" si="1"/>
        <v>1.98018E-6</v>
      </c>
      <c r="L15">
        <f t="shared" si="2"/>
        <v>1.5685219999999998E-4</v>
      </c>
      <c r="M15">
        <v>1.56852E-4</v>
      </c>
      <c r="N15">
        <v>0.99903200000000003</v>
      </c>
    </row>
    <row r="16" spans="1:14" x14ac:dyDescent="0.25">
      <c r="A16" s="22">
        <v>506</v>
      </c>
      <c r="B16" s="22">
        <v>0.151118</v>
      </c>
      <c r="C16" s="25">
        <v>18.838699999999999</v>
      </c>
      <c r="D16" s="24">
        <v>9.94</v>
      </c>
      <c r="E16" s="29">
        <f t="shared" si="0"/>
        <v>8.8986999999999998</v>
      </c>
      <c r="F16" s="12">
        <v>1.53</v>
      </c>
      <c r="G16" s="25"/>
      <c r="H16">
        <v>-7.5304599999999997E-5</v>
      </c>
      <c r="I16">
        <v>1.1861E-4</v>
      </c>
      <c r="J16">
        <f>-4.84153*10^-6</f>
        <v>-4.8415299999999997E-6</v>
      </c>
      <c r="K16">
        <f t="shared" si="1"/>
        <v>4.8415299999999997E-6</v>
      </c>
      <c r="L16">
        <f t="shared" si="2"/>
        <v>1.9391459999999999E-4</v>
      </c>
      <c r="M16">
        <v>1.93914E-4</v>
      </c>
      <c r="N16">
        <v>0.99910299999999996</v>
      </c>
    </row>
    <row r="17" spans="1:14" x14ac:dyDescent="0.25">
      <c r="A17" s="22">
        <v>534</v>
      </c>
      <c r="B17" s="22">
        <v>0.19514500000000001</v>
      </c>
      <c r="C17" s="22">
        <v>21.5185</v>
      </c>
      <c r="D17" s="24">
        <v>14.74</v>
      </c>
      <c r="E17" s="29">
        <f t="shared" si="0"/>
        <v>6.7784999999999993</v>
      </c>
      <c r="F17" s="12">
        <v>1.5429999999999999</v>
      </c>
      <c r="G17" s="25"/>
      <c r="H17">
        <v>-1.33447E-4</v>
      </c>
      <c r="I17">
        <v>3.8733799999999998E-5</v>
      </c>
      <c r="J17">
        <f>-1.07694*10^-6</f>
        <v>-1.0769400000000001E-6</v>
      </c>
      <c r="K17">
        <f t="shared" si="1"/>
        <v>1.0769400000000001E-6</v>
      </c>
      <c r="L17">
        <f t="shared" si="2"/>
        <v>1.721808E-4</v>
      </c>
      <c r="M17">
        <v>1.7218100000000001E-4</v>
      </c>
      <c r="N17">
        <v>0.99828700000000004</v>
      </c>
    </row>
    <row r="18" spans="1:14" x14ac:dyDescent="0.25">
      <c r="A18" s="22">
        <v>567</v>
      </c>
      <c r="B18" s="22">
        <v>0.14848500000000001</v>
      </c>
      <c r="C18" s="22">
        <v>26.5</v>
      </c>
      <c r="D18" s="24">
        <v>14.45</v>
      </c>
      <c r="E18" s="29">
        <f t="shared" si="0"/>
        <v>12.05</v>
      </c>
      <c r="F18" s="12">
        <v>1.554</v>
      </c>
      <c r="G18" s="25"/>
      <c r="H18">
        <v>-2.0379600000000001E-4</v>
      </c>
      <c r="I18">
        <v>8.5719199999999997E-5</v>
      </c>
      <c r="J18">
        <f>-1.4399*10^-6</f>
        <v>-1.4399E-6</v>
      </c>
      <c r="K18">
        <f t="shared" si="1"/>
        <v>1.4399E-6</v>
      </c>
      <c r="L18">
        <f t="shared" si="2"/>
        <v>2.8951520000000002E-4</v>
      </c>
      <c r="M18">
        <v>2.8951500000000001E-4</v>
      </c>
      <c r="N18">
        <v>0.99856900000000004</v>
      </c>
    </row>
    <row r="19" spans="1:14" x14ac:dyDescent="0.25">
      <c r="A19" s="22">
        <v>600</v>
      </c>
      <c r="B19" s="25">
        <v>0.162823</v>
      </c>
      <c r="C19" s="22">
        <v>24.420300000000001</v>
      </c>
      <c r="D19" s="24">
        <v>14.51</v>
      </c>
      <c r="E19" s="29">
        <f t="shared" si="0"/>
        <v>9.9103000000000012</v>
      </c>
      <c r="F19" s="12">
        <v>1.5529999999999999</v>
      </c>
      <c r="G19" s="25"/>
      <c r="H19">
        <v>-1.7332599999999999E-4</v>
      </c>
      <c r="I19">
        <v>6.8445100000000006E-5</v>
      </c>
      <c r="J19">
        <f>-1.2182*10^-6</f>
        <v>-1.2181999999999998E-6</v>
      </c>
      <c r="K19">
        <f t="shared" si="1"/>
        <v>1.2181999999999998E-6</v>
      </c>
      <c r="L19">
        <f t="shared" si="2"/>
        <v>2.4177109999999998E-4</v>
      </c>
      <c r="M19">
        <v>2.41771E-4</v>
      </c>
      <c r="N19">
        <v>0.99841000000000002</v>
      </c>
    </row>
    <row r="20" spans="1:14" x14ac:dyDescent="0.25">
      <c r="A20" s="22">
        <v>674</v>
      </c>
      <c r="B20" s="22">
        <v>0.15298900000000001</v>
      </c>
      <c r="C20" s="22">
        <v>24.333300000000001</v>
      </c>
      <c r="D20" s="24">
        <v>12.58</v>
      </c>
      <c r="E20" s="29">
        <f t="shared" si="0"/>
        <v>11.753300000000001</v>
      </c>
      <c r="F20" s="12">
        <v>1.554</v>
      </c>
      <c r="G20" s="25"/>
      <c r="H20">
        <v>-1.7545000000000001E-4</v>
      </c>
      <c r="I20">
        <v>9.2623900000000006E-5</v>
      </c>
      <c r="J20">
        <f>-1.55589*10^-6</f>
        <v>-1.5558899999999999E-6</v>
      </c>
      <c r="K20">
        <f t="shared" si="1"/>
        <v>1.5558899999999999E-6</v>
      </c>
      <c r="L20">
        <f t="shared" si="2"/>
        <v>2.680739E-4</v>
      </c>
      <c r="M20">
        <v>2.6807399999999998E-4</v>
      </c>
      <c r="N20">
        <v>0.99862799999999996</v>
      </c>
    </row>
    <row r="21" spans="1:14" x14ac:dyDescent="0.25">
      <c r="A21" s="22">
        <v>736</v>
      </c>
      <c r="B21" s="22">
        <v>0.17657999999999999</v>
      </c>
      <c r="C21" s="22">
        <v>22.413</v>
      </c>
      <c r="D21" s="24">
        <v>14.62</v>
      </c>
      <c r="E21" s="29">
        <f t="shared" si="0"/>
        <v>7.793000000000001</v>
      </c>
      <c r="F21" s="12">
        <v>1.552</v>
      </c>
      <c r="G21" s="25"/>
      <c r="H21">
        <v>-1.3681000000000001E-4</v>
      </c>
      <c r="I21">
        <v>5.4982499999999997E-5</v>
      </c>
      <c r="J21">
        <f>-1.03359*10^-6</f>
        <v>-1.0335899999999999E-6</v>
      </c>
      <c r="K21">
        <f t="shared" si="1"/>
        <v>1.0335899999999999E-6</v>
      </c>
      <c r="L21">
        <f t="shared" si="2"/>
        <v>1.9179250000000002E-4</v>
      </c>
      <c r="M21">
        <v>1.9179200000000001E-4</v>
      </c>
      <c r="N21">
        <v>0.99875899999999995</v>
      </c>
    </row>
    <row r="22" spans="1:14" x14ac:dyDescent="0.25">
      <c r="A22" s="22">
        <v>813</v>
      </c>
      <c r="B22" s="22">
        <v>0.175042</v>
      </c>
      <c r="C22" s="22">
        <v>20.785699999999999</v>
      </c>
      <c r="D22" s="24">
        <v>11.93</v>
      </c>
      <c r="E22" s="29">
        <f t="shared" si="0"/>
        <v>8.8556999999999988</v>
      </c>
      <c r="F22" s="12">
        <v>1.54</v>
      </c>
      <c r="G22" s="25"/>
      <c r="H22">
        <v>-1.41404E-4</v>
      </c>
      <c r="I22">
        <v>6.8387999999999996E-5</v>
      </c>
      <c r="J22">
        <f>-2.10676*10^-6</f>
        <v>-2.1067600000000001E-6</v>
      </c>
      <c r="K22">
        <f t="shared" si="1"/>
        <v>2.1067600000000001E-6</v>
      </c>
      <c r="L22">
        <f t="shared" si="2"/>
        <v>2.0979199999999999E-4</v>
      </c>
      <c r="M22">
        <v>2.0979200000000001E-4</v>
      </c>
      <c r="N22">
        <v>0.99867300000000003</v>
      </c>
    </row>
    <row r="23" spans="1:14" x14ac:dyDescent="0.25">
      <c r="A23" s="22">
        <v>880</v>
      </c>
      <c r="B23" s="22">
        <v>0.17990600000000001</v>
      </c>
      <c r="C23" s="22">
        <v>21.6296</v>
      </c>
      <c r="D23" s="24">
        <v>14.11</v>
      </c>
      <c r="E23" s="29">
        <f t="shared" si="0"/>
        <v>7.5196000000000005</v>
      </c>
      <c r="F23" s="12">
        <v>1.542</v>
      </c>
      <c r="G23" s="25"/>
      <c r="H23">
        <v>-1.3544100000000001E-4</v>
      </c>
      <c r="I23">
        <v>5.0868000000000002E-5</v>
      </c>
      <c r="J23">
        <f>-1.46522*10^-6</f>
        <v>-1.4652199999999999E-6</v>
      </c>
      <c r="K23">
        <f t="shared" si="1"/>
        <v>1.4652199999999999E-6</v>
      </c>
      <c r="L23">
        <f t="shared" si="2"/>
        <v>1.8630900000000001E-4</v>
      </c>
      <c r="M23">
        <v>1.8630900000000001E-4</v>
      </c>
      <c r="N23">
        <v>0.99863900000000005</v>
      </c>
    </row>
    <row r="24" spans="1:14" x14ac:dyDescent="0.25">
      <c r="A24" s="22">
        <v>972</v>
      </c>
      <c r="B24" s="22">
        <v>0.173899</v>
      </c>
      <c r="C24" s="22">
        <v>20.791799999999999</v>
      </c>
      <c r="D24" s="24">
        <v>11.92</v>
      </c>
      <c r="E24" s="29">
        <f t="shared" si="0"/>
        <v>8.8717999999999986</v>
      </c>
      <c r="F24" s="12">
        <v>1.536</v>
      </c>
      <c r="G24" s="25"/>
      <c r="H24">
        <v>-1.4395E-4</v>
      </c>
      <c r="I24">
        <v>6.7180400000000005E-5</v>
      </c>
      <c r="J24">
        <f>-2.33857*10^-6</f>
        <v>-2.3385699999999995E-6</v>
      </c>
      <c r="K24">
        <f t="shared" si="1"/>
        <v>2.3385699999999995E-6</v>
      </c>
      <c r="L24">
        <f t="shared" si="2"/>
        <v>2.1113039999999999E-4</v>
      </c>
      <c r="M24">
        <v>2.1113100000000001E-4</v>
      </c>
      <c r="N24">
        <v>0.99816099999999996</v>
      </c>
    </row>
    <row r="25" spans="1:14" x14ac:dyDescent="0.25">
      <c r="A25" s="22">
        <v>1022</v>
      </c>
      <c r="B25" s="22">
        <v>0.16505700000000001</v>
      </c>
      <c r="C25" s="22">
        <v>21.598299999999998</v>
      </c>
      <c r="D25" s="24">
        <v>11.59</v>
      </c>
      <c r="E25" s="29">
        <f t="shared" si="0"/>
        <v>10.008299999999998</v>
      </c>
      <c r="F25" s="12">
        <v>1.542</v>
      </c>
      <c r="G25" s="25"/>
      <c r="H25">
        <v>-1.5004999999999999E-4</v>
      </c>
      <c r="I25">
        <v>8.0634099999999994E-5</v>
      </c>
      <c r="J25">
        <f>-2.32261*10^-6</f>
        <v>-2.3226099999999999E-6</v>
      </c>
      <c r="K25">
        <f t="shared" si="1"/>
        <v>2.3226099999999999E-6</v>
      </c>
      <c r="L25">
        <f t="shared" si="2"/>
        <v>2.3068409999999997E-4</v>
      </c>
      <c r="M25">
        <v>2.3068399999999999E-4</v>
      </c>
      <c r="N25">
        <v>0.99840300000000004</v>
      </c>
    </row>
    <row r="26" spans="1:14" x14ac:dyDescent="0.25">
      <c r="A26" s="22">
        <v>1059</v>
      </c>
      <c r="B26" s="22">
        <v>0.178731</v>
      </c>
      <c r="C26" s="22">
        <v>21.549700000000001</v>
      </c>
      <c r="D26" s="24">
        <v>13.77</v>
      </c>
      <c r="E26" s="29">
        <f t="shared" si="0"/>
        <v>7.7797000000000018</v>
      </c>
      <c r="F26" s="12">
        <v>1.556</v>
      </c>
      <c r="G26" s="25"/>
      <c r="H26">
        <v>-1.2715E-4</v>
      </c>
      <c r="I26">
        <v>6.0815800000000001E-5</v>
      </c>
      <c r="J26">
        <f>-8.99916*10^-7</f>
        <v>-8.9991599999999997E-7</v>
      </c>
      <c r="K26" t="s">
        <v>62</v>
      </c>
      <c r="L26">
        <v>1.87966E-4</v>
      </c>
      <c r="M26">
        <v>1.87966E-4</v>
      </c>
      <c r="N26">
        <v>0.99858100000000005</v>
      </c>
    </row>
    <row r="27" spans="1:14" x14ac:dyDescent="0.25">
      <c r="A27" s="22">
        <v>1069</v>
      </c>
      <c r="B27" s="22">
        <v>0.17035800000000001</v>
      </c>
      <c r="C27" s="22">
        <v>22.413</v>
      </c>
      <c r="D27" s="24">
        <v>14.28</v>
      </c>
      <c r="E27" s="29">
        <f t="shared" si="0"/>
        <v>8.1330000000000009</v>
      </c>
      <c r="F27" s="12">
        <v>1.5509999999999999</v>
      </c>
      <c r="G27" s="25"/>
      <c r="H27">
        <v>-1.3556500000000001E-4</v>
      </c>
      <c r="I27">
        <v>6.1858099999999996E-5</v>
      </c>
      <c r="J27">
        <f>-1.22472*10^-6</f>
        <v>-1.22472E-6</v>
      </c>
      <c r="K27">
        <f>-J27</f>
        <v>1.22472E-6</v>
      </c>
      <c r="L27">
        <f>I27-H27</f>
        <v>1.9742309999999999E-4</v>
      </c>
      <c r="M27">
        <v>1.97424E-4</v>
      </c>
      <c r="N27">
        <v>0.99829199999999996</v>
      </c>
    </row>
    <row r="28" spans="1:14" x14ac:dyDescent="0.25">
      <c r="A28" s="22">
        <v>1099</v>
      </c>
      <c r="B28" s="22">
        <v>0.20231099999999999</v>
      </c>
      <c r="C28" s="22">
        <v>20.034500000000001</v>
      </c>
      <c r="D28" s="24">
        <v>13.24</v>
      </c>
      <c r="E28" s="29">
        <f t="shared" si="0"/>
        <v>6.7945000000000011</v>
      </c>
      <c r="F28" s="12">
        <v>1.5489999999999999</v>
      </c>
      <c r="G28" s="25"/>
      <c r="H28">
        <v>-1.23886E-4</v>
      </c>
      <c r="I28">
        <v>4.5027500000000002E-5</v>
      </c>
      <c r="J28">
        <f>-9.81589*10^-7</f>
        <v>-9.8158899999999996E-7</v>
      </c>
      <c r="K28">
        <f t="shared" si="1"/>
        <v>9.8158899999999996E-7</v>
      </c>
      <c r="L28">
        <f t="shared" si="2"/>
        <v>1.6891350000000001E-4</v>
      </c>
      <c r="M28">
        <v>1.68913E-4</v>
      </c>
      <c r="N28">
        <v>0.99840300000000004</v>
      </c>
    </row>
    <row r="29" spans="1:14" x14ac:dyDescent="0.25">
      <c r="A29" s="22">
        <v>1121</v>
      </c>
      <c r="B29" s="25">
        <v>0.18886500000000001</v>
      </c>
      <c r="C29" s="22">
        <v>22.3462</v>
      </c>
      <c r="D29" s="24">
        <v>14.77</v>
      </c>
      <c r="E29" s="29">
        <f t="shared" si="0"/>
        <v>7.5762</v>
      </c>
      <c r="F29" s="12">
        <v>1.552</v>
      </c>
      <c r="G29" s="25"/>
      <c r="H29">
        <v>-1.44981E-4</v>
      </c>
      <c r="I29">
        <v>4.5902799999999997E-5</v>
      </c>
      <c r="J29">
        <f>-8.62906*10^-7</f>
        <v>-8.6290600000000009E-7</v>
      </c>
      <c r="K29">
        <f t="shared" si="1"/>
        <v>8.6290600000000009E-7</v>
      </c>
      <c r="L29">
        <f t="shared" si="2"/>
        <v>1.9088379999999998E-4</v>
      </c>
      <c r="M29">
        <v>1.90884E-4</v>
      </c>
      <c r="N29">
        <v>0.99837799999999999</v>
      </c>
    </row>
    <row r="30" spans="1:14" x14ac:dyDescent="0.25">
      <c r="A30" s="22">
        <v>1163</v>
      </c>
      <c r="B30" s="25">
        <v>0.175953</v>
      </c>
      <c r="C30" s="22">
        <v>24.166699999999999</v>
      </c>
      <c r="D30" s="24">
        <v>14.75</v>
      </c>
      <c r="E30" s="29">
        <f t="shared" si="0"/>
        <v>9.4166999999999987</v>
      </c>
      <c r="F30" s="25">
        <v>1.5669999999999999</v>
      </c>
      <c r="G30" s="25"/>
      <c r="H30">
        <v>-1.70192E-4</v>
      </c>
      <c r="I30">
        <v>6.2609100000000003E-5</v>
      </c>
      <c r="J30">
        <f>-2.37686*10^-7</f>
        <v>-2.37686E-7</v>
      </c>
      <c r="K30">
        <f t="shared" si="1"/>
        <v>2.37686E-7</v>
      </c>
      <c r="L30">
        <f t="shared" si="2"/>
        <v>2.3280110000000002E-4</v>
      </c>
      <c r="M30">
        <v>2.3280100000000001E-4</v>
      </c>
      <c r="N30">
        <v>0.99791399999999997</v>
      </c>
    </row>
    <row r="31" spans="1:14" x14ac:dyDescent="0.25">
      <c r="A31" s="22">
        <v>1176</v>
      </c>
      <c r="B31" s="22">
        <v>0.185581</v>
      </c>
      <c r="C31" s="22">
        <v>23.279599999999999</v>
      </c>
      <c r="D31" s="24">
        <v>14.89</v>
      </c>
      <c r="E31" s="29">
        <f t="shared" si="0"/>
        <v>8.3895999999999979</v>
      </c>
      <c r="F31" s="30">
        <v>1.5620000000000001</v>
      </c>
      <c r="G31" s="25"/>
      <c r="H31">
        <v>-1.5892799999999999E-4</v>
      </c>
      <c r="I31">
        <v>5.2008000000000001E-5</v>
      </c>
      <c r="J31">
        <f>-4.57491*10^-7</f>
        <v>-4.5749099999999998E-7</v>
      </c>
      <c r="K31">
        <f t="shared" si="1"/>
        <v>4.5749099999999998E-7</v>
      </c>
      <c r="L31">
        <f t="shared" si="2"/>
        <v>2.10936E-4</v>
      </c>
      <c r="M31">
        <v>2.10936E-4</v>
      </c>
      <c r="N31">
        <v>0.99696799999999997</v>
      </c>
    </row>
    <row r="32" spans="1:14" x14ac:dyDescent="0.25">
      <c r="A32" s="43" t="s">
        <v>6</v>
      </c>
      <c r="B32" s="44">
        <f>AVERAGE(B4:B31)</f>
        <v>0.17414035714285711</v>
      </c>
      <c r="C32" s="42">
        <f>AVERAGE(C4:C31)</f>
        <v>21.805010714285711</v>
      </c>
      <c r="D32" s="42">
        <f>AVERAGE(D4:D31)</f>
        <v>13.550714285714282</v>
      </c>
      <c r="E32" s="42">
        <f t="shared" ref="E32:N32" si="3">AVERAGE(E4:E31)</f>
        <v>8.2542964285714273</v>
      </c>
      <c r="F32" s="42">
        <f t="shared" si="3"/>
        <v>1.5431785714285713</v>
      </c>
      <c r="G32" s="42" t="s">
        <v>52</v>
      </c>
      <c r="H32" s="42">
        <f t="shared" si="3"/>
        <v>-1.3611733928571432E-4</v>
      </c>
      <c r="I32" s="42">
        <f t="shared" si="3"/>
        <v>6.3142442857142843E-5</v>
      </c>
      <c r="J32" s="42">
        <f t="shared" si="3"/>
        <v>-1.778451571428572E-6</v>
      </c>
      <c r="K32" s="42">
        <f>AVERAGE(K4:K31)</f>
        <v>1.8109899259259263E-6</v>
      </c>
      <c r="L32" s="42">
        <f t="shared" si="3"/>
        <v>1.9925978928571426E-4</v>
      </c>
      <c r="M32" s="42">
        <f>-AVERAGE(M4:M31)</f>
        <v>-1.9925971428571429E-4</v>
      </c>
      <c r="N32" s="42">
        <f t="shared" si="3"/>
        <v>0.99850528571428565</v>
      </c>
    </row>
    <row r="33" spans="1:14" x14ac:dyDescent="0.25">
      <c r="A33" s="45" t="s">
        <v>7</v>
      </c>
      <c r="B33" s="12">
        <f>_xlfn.STDEV.P(B4:B31)</f>
        <v>1.3102838856016456E-2</v>
      </c>
      <c r="C33" s="42">
        <f>_xlfn.STDEV.P(C4:C31)</f>
        <v>2.1584298743265213</v>
      </c>
      <c r="D33" s="42">
        <f t="shared" ref="D33:N33" si="4">_xlfn.STDEV.P(D4:D31)</f>
        <v>1.7486952862296177</v>
      </c>
      <c r="E33" s="42">
        <f t="shared" si="4"/>
        <v>1.8593681028169129</v>
      </c>
      <c r="F33" s="42">
        <f t="shared" si="4"/>
        <v>1.1145317951718482E-2</v>
      </c>
      <c r="G33" s="42" t="s">
        <v>53</v>
      </c>
      <c r="H33" s="42">
        <f t="shared" si="4"/>
        <v>3.5924096189280408E-5</v>
      </c>
      <c r="I33" s="42">
        <f t="shared" si="4"/>
        <v>2.0521283082508486E-5</v>
      </c>
      <c r="J33" s="42">
        <f t="shared" si="4"/>
        <v>1.1077726332955056E-6</v>
      </c>
      <c r="K33" s="42">
        <f t="shared" si="4"/>
        <v>1.1148837332849231E-6</v>
      </c>
      <c r="L33" s="42">
        <f t="shared" si="4"/>
        <v>3.8257044261270542E-5</v>
      </c>
      <c r="M33" s="42">
        <f>_xlfn.STDEV.P(M4:M31)</f>
        <v>3.825703901138151E-5</v>
      </c>
      <c r="N33" s="42">
        <f t="shared" si="4"/>
        <v>4.5854162119414471E-4</v>
      </c>
    </row>
    <row r="34" spans="1:14" x14ac:dyDescent="0.25">
      <c r="A34" s="45" t="s">
        <v>8</v>
      </c>
      <c r="B34" s="12">
        <f>B32+B33</f>
        <v>0.18724319599887357</v>
      </c>
      <c r="C34" s="42"/>
      <c r="D34" s="42"/>
      <c r="E34" s="42"/>
      <c r="F34" s="42"/>
      <c r="G34" s="42"/>
    </row>
    <row r="35" spans="1:14" ht="15.75" thickBot="1" x14ac:dyDescent="0.3">
      <c r="A35" s="46" t="s">
        <v>9</v>
      </c>
      <c r="B35" s="47">
        <f>B32-B33</f>
        <v>0.16103751828684065</v>
      </c>
      <c r="C35" s="42"/>
      <c r="D35" s="42"/>
      <c r="E35" s="42"/>
      <c r="F35" s="42"/>
      <c r="G35" s="42"/>
    </row>
  </sheetData>
  <mergeCells count="1">
    <mergeCell ref="A2:F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N33"/>
  <sheetViews>
    <sheetView workbookViewId="0">
      <selection activeCell="H30" activeCellId="2" sqref="B30:C31 E30:F31 H30:N31"/>
    </sheetView>
  </sheetViews>
  <sheetFormatPr defaultRowHeight="15" x14ac:dyDescent="0.25"/>
  <cols>
    <col min="11" max="11" width="12" bestFit="1" customWidth="1"/>
  </cols>
  <sheetData>
    <row r="1" spans="1:14" x14ac:dyDescent="0.25">
      <c r="A1" s="212" t="s">
        <v>26</v>
      </c>
      <c r="B1" s="213"/>
      <c r="C1" s="213"/>
      <c r="D1" s="213"/>
      <c r="E1" s="213"/>
      <c r="F1" s="214"/>
      <c r="G1" s="42"/>
    </row>
    <row r="2" spans="1:14" ht="45" x14ac:dyDescent="0.25">
      <c r="A2" s="1" t="s">
        <v>1</v>
      </c>
      <c r="B2" s="2" t="s">
        <v>2</v>
      </c>
      <c r="C2" s="2" t="s">
        <v>19</v>
      </c>
      <c r="D2" s="2" t="s">
        <v>20</v>
      </c>
      <c r="E2" s="2" t="s">
        <v>44</v>
      </c>
      <c r="F2" s="3" t="s">
        <v>4</v>
      </c>
      <c r="G2" s="41" t="s">
        <v>5</v>
      </c>
      <c r="H2" s="3" t="s">
        <v>37</v>
      </c>
      <c r="I2" s="50" t="s">
        <v>39</v>
      </c>
      <c r="J2" s="50" t="s">
        <v>41</v>
      </c>
      <c r="K2" s="50" t="s">
        <v>38</v>
      </c>
      <c r="L2" s="3" t="s">
        <v>42</v>
      </c>
      <c r="M2" s="3" t="s">
        <v>40</v>
      </c>
      <c r="N2" s="50" t="s">
        <v>43</v>
      </c>
    </row>
    <row r="3" spans="1:14" x14ac:dyDescent="0.25">
      <c r="A3" s="22">
        <v>2</v>
      </c>
      <c r="B3" s="42">
        <v>0.169768</v>
      </c>
      <c r="C3" s="29">
        <v>25.535699999999999</v>
      </c>
      <c r="D3" s="29">
        <v>16.29</v>
      </c>
      <c r="E3" s="29">
        <f>C3-D3</f>
        <v>9.2456999999999994</v>
      </c>
      <c r="F3" s="12">
        <v>1.542</v>
      </c>
      <c r="G3" s="25"/>
      <c r="H3">
        <v>-1.9263799999999999E-4</v>
      </c>
      <c r="I3">
        <v>4.8510800000000003E-5</v>
      </c>
      <c r="J3">
        <f>-1.39732*10^-6</f>
        <v>-1.3973199999999999E-6</v>
      </c>
      <c r="K3">
        <f>-J3</f>
        <v>1.3973199999999999E-6</v>
      </c>
      <c r="L3">
        <f>I3-H3</f>
        <v>2.411488E-4</v>
      </c>
      <c r="M3">
        <v>2.4114899999999999E-4</v>
      </c>
      <c r="N3">
        <v>0.99756100000000003</v>
      </c>
    </row>
    <row r="4" spans="1:14" x14ac:dyDescent="0.25">
      <c r="A4" s="22">
        <v>9</v>
      </c>
      <c r="B4" s="29">
        <v>0.203873</v>
      </c>
      <c r="C4" s="29">
        <v>23.001100000000001</v>
      </c>
      <c r="D4" s="29">
        <v>16.66</v>
      </c>
      <c r="E4" s="29">
        <f t="shared" ref="E4:E29" si="0">C4-D4</f>
        <v>6.3411000000000008</v>
      </c>
      <c r="F4" s="12">
        <v>1.536</v>
      </c>
      <c r="G4" s="25"/>
      <c r="H4">
        <v>-1.41691E-4</v>
      </c>
      <c r="I4">
        <v>2.5448200000000001E-5</v>
      </c>
      <c r="J4">
        <f>-8.85861*10^-7</f>
        <v>-8.8586100000000005E-7</v>
      </c>
      <c r="K4">
        <f t="shared" ref="K4:K29" si="1">-J4</f>
        <v>8.8586100000000005E-7</v>
      </c>
      <c r="L4">
        <f t="shared" ref="L4:L29" si="2">I4-H4</f>
        <v>1.671392E-4</v>
      </c>
      <c r="M4">
        <v>1.6713899999999999E-4</v>
      </c>
      <c r="N4">
        <v>0.99750399999999995</v>
      </c>
    </row>
    <row r="5" spans="1:14" x14ac:dyDescent="0.25">
      <c r="A5" s="22">
        <v>20</v>
      </c>
      <c r="B5" s="42">
        <v>0.24768799999999999</v>
      </c>
      <c r="C5" s="29">
        <v>18.843699999999998</v>
      </c>
      <c r="D5" s="29">
        <v>13.68</v>
      </c>
      <c r="E5" s="29">
        <f t="shared" si="0"/>
        <v>5.1636999999999986</v>
      </c>
      <c r="F5" s="12">
        <v>1.5309999999999999</v>
      </c>
      <c r="G5" s="25"/>
      <c r="H5">
        <v>-1.14214E-4</v>
      </c>
      <c r="I5">
        <v>2.1387100000000001E-5</v>
      </c>
      <c r="J5">
        <f>-8.51578*10^-7</f>
        <v>-8.5157799999999995E-7</v>
      </c>
      <c r="K5">
        <f t="shared" si="1"/>
        <v>8.5157799999999995E-7</v>
      </c>
      <c r="L5">
        <f t="shared" si="2"/>
        <v>1.3560110000000001E-4</v>
      </c>
      <c r="M5">
        <v>1.35601E-4</v>
      </c>
      <c r="N5">
        <v>0.998637</v>
      </c>
    </row>
    <row r="6" spans="1:14" x14ac:dyDescent="0.25">
      <c r="A6" s="22">
        <v>35</v>
      </c>
      <c r="B6" s="22">
        <v>0.19606699999999999</v>
      </c>
      <c r="C6" s="22">
        <v>19.916699999999999</v>
      </c>
      <c r="D6" s="24">
        <v>14.58</v>
      </c>
      <c r="E6" s="29">
        <f t="shared" si="0"/>
        <v>5.3366999999999987</v>
      </c>
      <c r="F6" s="12">
        <v>1.528</v>
      </c>
      <c r="G6" s="25"/>
      <c r="H6">
        <v>-1.02348E-4</v>
      </c>
      <c r="I6">
        <v>3.3417100000000002E-5</v>
      </c>
      <c r="J6">
        <f>-1.431*10^-6</f>
        <v>-1.4309999999999999E-6</v>
      </c>
      <c r="K6">
        <f t="shared" si="1"/>
        <v>1.4309999999999999E-6</v>
      </c>
      <c r="L6">
        <f t="shared" si="2"/>
        <v>1.3576510000000002E-4</v>
      </c>
      <c r="M6">
        <v>1.35766E-4</v>
      </c>
      <c r="N6">
        <v>0.99890599999999996</v>
      </c>
    </row>
    <row r="7" spans="1:14" x14ac:dyDescent="0.25">
      <c r="A7" s="22">
        <v>65</v>
      </c>
      <c r="B7" s="22">
        <v>0.14675099999999999</v>
      </c>
      <c r="C7" s="23">
        <v>20.428599999999999</v>
      </c>
      <c r="D7" s="24">
        <v>7.63</v>
      </c>
      <c r="E7" s="29">
        <f t="shared" si="0"/>
        <v>12.7986</v>
      </c>
      <c r="F7" s="12">
        <v>1.5269999999999999</v>
      </c>
      <c r="G7" s="25"/>
      <c r="H7">
        <v>-1.2729899999999999E-4</v>
      </c>
      <c r="I7">
        <v>1.20565E-4</v>
      </c>
      <c r="J7">
        <f>-5.28367*10^-6</f>
        <v>-5.2836699999999995E-6</v>
      </c>
      <c r="K7">
        <f t="shared" si="1"/>
        <v>5.2836699999999995E-6</v>
      </c>
      <c r="L7">
        <f t="shared" si="2"/>
        <v>2.4786399999999998E-4</v>
      </c>
      <c r="M7">
        <v>2.4786399999999998E-4</v>
      </c>
      <c r="N7">
        <v>0.99836800000000003</v>
      </c>
    </row>
    <row r="8" spans="1:14" x14ac:dyDescent="0.25">
      <c r="A8" s="22">
        <v>85</v>
      </c>
      <c r="B8" s="12">
        <v>0.180531</v>
      </c>
      <c r="C8" s="22">
        <v>18.820900000000002</v>
      </c>
      <c r="D8" s="24">
        <v>10.37</v>
      </c>
      <c r="E8" s="29">
        <f t="shared" si="0"/>
        <v>8.4509000000000025</v>
      </c>
      <c r="F8" s="12">
        <v>1.5249999999999999</v>
      </c>
      <c r="G8" s="25"/>
      <c r="H8">
        <v>-1.2854899999999999E-4</v>
      </c>
      <c r="I8">
        <v>6.8618600000000001E-5</v>
      </c>
      <c r="J8">
        <f>-3.14468*10^-6</f>
        <v>-3.14468E-6</v>
      </c>
      <c r="K8">
        <f t="shared" si="1"/>
        <v>3.14468E-6</v>
      </c>
      <c r="L8">
        <f t="shared" si="2"/>
        <v>1.9716759999999998E-4</v>
      </c>
      <c r="M8">
        <v>1.9716699999999999E-4</v>
      </c>
      <c r="N8">
        <v>0.99928099999999997</v>
      </c>
    </row>
    <row r="9" spans="1:14" x14ac:dyDescent="0.25">
      <c r="A9" s="22">
        <v>97</v>
      </c>
      <c r="B9" s="12">
        <v>0.18147099999999999</v>
      </c>
      <c r="C9" s="22">
        <v>19.8611</v>
      </c>
      <c r="D9" s="24">
        <v>13.22</v>
      </c>
      <c r="E9" s="29">
        <f t="shared" si="0"/>
        <v>6.6410999999999998</v>
      </c>
      <c r="F9" s="12">
        <v>1.5249999999999999</v>
      </c>
      <c r="G9" s="25"/>
      <c r="H9">
        <v>-1.17323E-4</v>
      </c>
      <c r="I9">
        <v>4.7426299999999997E-5</v>
      </c>
      <c r="J9">
        <f>-2.17347*10^-6</f>
        <v>-2.17347E-6</v>
      </c>
      <c r="K9">
        <f t="shared" si="1"/>
        <v>2.17347E-6</v>
      </c>
      <c r="L9">
        <f t="shared" si="2"/>
        <v>1.647493E-4</v>
      </c>
      <c r="M9">
        <v>1.6474999999999999E-4</v>
      </c>
      <c r="N9">
        <v>0.99832500000000002</v>
      </c>
    </row>
    <row r="10" spans="1:14" x14ac:dyDescent="0.25">
      <c r="A10" s="22">
        <v>110</v>
      </c>
      <c r="B10" s="22">
        <v>0.16354299999999999</v>
      </c>
      <c r="C10" s="22">
        <v>21.666699999999999</v>
      </c>
      <c r="D10" s="24">
        <v>12.52</v>
      </c>
      <c r="E10" s="29">
        <f t="shared" si="0"/>
        <v>9.1466999999999992</v>
      </c>
      <c r="F10" s="12">
        <v>1.524</v>
      </c>
      <c r="G10" s="25"/>
      <c r="H10">
        <v>-1.58436E-4</v>
      </c>
      <c r="I10">
        <v>6.3349999999999995E-5</v>
      </c>
      <c r="J10">
        <f>-2.96671*10^-6</f>
        <v>-2.9667099999999998E-6</v>
      </c>
      <c r="K10">
        <f t="shared" si="1"/>
        <v>2.9667099999999998E-6</v>
      </c>
      <c r="L10">
        <f t="shared" si="2"/>
        <v>2.2178599999999999E-4</v>
      </c>
      <c r="M10">
        <v>2.2178599999999999E-4</v>
      </c>
      <c r="N10">
        <v>0.99775700000000001</v>
      </c>
    </row>
    <row r="11" spans="1:14" x14ac:dyDescent="0.25">
      <c r="A11" s="22">
        <v>126</v>
      </c>
      <c r="B11" s="12">
        <v>0.16508700000000001</v>
      </c>
      <c r="C11" s="25">
        <v>17.875</v>
      </c>
      <c r="D11" s="25">
        <v>9.85</v>
      </c>
      <c r="E11" s="29">
        <f t="shared" si="0"/>
        <v>8.0250000000000004</v>
      </c>
      <c r="F11" s="12">
        <v>1.518</v>
      </c>
      <c r="G11" s="25"/>
      <c r="H11">
        <v>-9.34059E-5</v>
      </c>
      <c r="I11">
        <v>8.8749E-5</v>
      </c>
      <c r="J11">
        <f>-4.68998*10^-6</f>
        <v>-4.6899800000000003E-6</v>
      </c>
      <c r="K11">
        <f t="shared" si="1"/>
        <v>4.6899800000000003E-6</v>
      </c>
      <c r="L11">
        <f t="shared" si="2"/>
        <v>1.821549E-4</v>
      </c>
      <c r="M11">
        <v>1.8215500000000001E-4</v>
      </c>
      <c r="N11">
        <v>0.99863000000000002</v>
      </c>
    </row>
    <row r="12" spans="1:14" x14ac:dyDescent="0.25">
      <c r="A12" s="22">
        <v>148</v>
      </c>
      <c r="B12" s="12">
        <v>0.14857500000000001</v>
      </c>
      <c r="C12" s="22">
        <v>21.029399999999999</v>
      </c>
      <c r="D12" s="24">
        <v>7.79</v>
      </c>
      <c r="E12" s="29">
        <f t="shared" si="0"/>
        <v>13.2394</v>
      </c>
      <c r="F12" s="12">
        <v>1.5249999999999999</v>
      </c>
      <c r="G12" s="25"/>
      <c r="H12">
        <v>-1.5116500000000001E-4</v>
      </c>
      <c r="I12">
        <v>1.12179E-4</v>
      </c>
      <c r="J12">
        <f>-5.14098*10^-6</f>
        <v>-5.1409799999999999E-6</v>
      </c>
      <c r="K12">
        <f t="shared" si="1"/>
        <v>5.1409799999999999E-6</v>
      </c>
      <c r="L12">
        <f t="shared" si="2"/>
        <v>2.6334399999999999E-4</v>
      </c>
      <c r="M12">
        <v>2.6334399999999999E-4</v>
      </c>
      <c r="N12">
        <v>0.99748099999999995</v>
      </c>
    </row>
    <row r="13" spans="1:14" x14ac:dyDescent="0.25">
      <c r="A13" s="22">
        <v>161</v>
      </c>
      <c r="B13" s="25">
        <v>0.19181599999999999</v>
      </c>
      <c r="C13" s="22">
        <v>21.058800000000002</v>
      </c>
      <c r="D13" s="24">
        <v>14.79</v>
      </c>
      <c r="E13" s="29">
        <f t="shared" si="0"/>
        <v>6.2688000000000024</v>
      </c>
      <c r="F13" s="12">
        <v>1.5369999999999999</v>
      </c>
      <c r="G13" s="25"/>
      <c r="H13">
        <v>-1.21054E-4</v>
      </c>
      <c r="I13">
        <v>3.7682699999999998E-5</v>
      </c>
      <c r="J13">
        <f>-1.27402*10^-6</f>
        <v>-1.2740199999999999E-6</v>
      </c>
      <c r="K13">
        <f t="shared" si="1"/>
        <v>1.2740199999999999E-6</v>
      </c>
      <c r="L13">
        <f t="shared" si="2"/>
        <v>1.587367E-4</v>
      </c>
      <c r="M13">
        <v>1.5873699999999999E-4</v>
      </c>
      <c r="N13">
        <v>0.99896600000000002</v>
      </c>
    </row>
    <row r="14" spans="1:14" x14ac:dyDescent="0.25">
      <c r="A14" s="22">
        <v>202</v>
      </c>
      <c r="B14" s="26">
        <v>0.17768400000000001</v>
      </c>
      <c r="C14" s="25">
        <v>19.324300000000001</v>
      </c>
      <c r="D14" s="28">
        <v>13.78</v>
      </c>
      <c r="E14" s="29">
        <f t="shared" si="0"/>
        <v>5.5443000000000016</v>
      </c>
      <c r="F14" s="12">
        <v>1.524</v>
      </c>
      <c r="G14" s="25"/>
      <c r="H14">
        <v>-9.0191499999999999E-5</v>
      </c>
      <c r="I14">
        <v>4.8474199999999997E-5</v>
      </c>
      <c r="J14">
        <f>-2.27007*10^-6</f>
        <v>-2.2700700000000001E-6</v>
      </c>
      <c r="K14">
        <f t="shared" si="1"/>
        <v>2.2700700000000001E-6</v>
      </c>
      <c r="L14">
        <f t="shared" si="2"/>
        <v>1.386657E-4</v>
      </c>
      <c r="M14">
        <v>1.3866599999999999E-4</v>
      </c>
      <c r="N14">
        <v>0.99905699999999997</v>
      </c>
    </row>
    <row r="15" spans="1:14" x14ac:dyDescent="0.25">
      <c r="A15" s="22">
        <v>290</v>
      </c>
      <c r="B15" s="22">
        <v>0.190667</v>
      </c>
      <c r="C15" s="25">
        <v>19.7746</v>
      </c>
      <c r="D15" s="24">
        <v>14.39</v>
      </c>
      <c r="E15" s="29">
        <f t="shared" si="0"/>
        <v>5.3845999999999989</v>
      </c>
      <c r="F15" s="12">
        <v>1.522</v>
      </c>
      <c r="G15" s="25"/>
      <c r="H15">
        <v>-1.02361E-4</v>
      </c>
      <c r="I15">
        <v>3.4464900000000003E-5</v>
      </c>
      <c r="J15">
        <f>-1.6831*10^-6</f>
        <v>-1.6831E-6</v>
      </c>
      <c r="K15">
        <f t="shared" si="1"/>
        <v>1.6831E-6</v>
      </c>
      <c r="L15">
        <f t="shared" si="2"/>
        <v>1.3682590000000001E-4</v>
      </c>
      <c r="M15">
        <v>1.3682599999999999E-4</v>
      </c>
      <c r="N15">
        <v>0.99802299999999999</v>
      </c>
    </row>
    <row r="16" spans="1:14" x14ac:dyDescent="0.25">
      <c r="A16" s="22">
        <v>304</v>
      </c>
      <c r="B16" s="22">
        <v>0.188051</v>
      </c>
      <c r="C16" s="22">
        <v>20.852900000000002</v>
      </c>
      <c r="D16" s="24">
        <v>12.68</v>
      </c>
      <c r="E16" s="29">
        <f t="shared" si="0"/>
        <v>8.1729000000000021</v>
      </c>
      <c r="F16" s="12">
        <v>1.536</v>
      </c>
      <c r="G16" s="25"/>
      <c r="H16">
        <v>-1.50736E-4</v>
      </c>
      <c r="I16">
        <v>5.2272699999999998E-5</v>
      </c>
      <c r="J16">
        <f>-1.81963*10^-6</f>
        <v>-1.8196300000000001E-6</v>
      </c>
      <c r="K16">
        <f t="shared" si="1"/>
        <v>1.8196300000000001E-6</v>
      </c>
      <c r="L16">
        <f t="shared" si="2"/>
        <v>2.0300869999999999E-4</v>
      </c>
      <c r="M16">
        <v>2.0300900000000001E-4</v>
      </c>
      <c r="N16">
        <v>0.99831099999999995</v>
      </c>
    </row>
    <row r="17" spans="1:14" x14ac:dyDescent="0.25">
      <c r="A17" s="22">
        <v>345</v>
      </c>
      <c r="B17" s="22">
        <v>0.24238399999999999</v>
      </c>
      <c r="C17" s="22">
        <v>19.805599999999998</v>
      </c>
      <c r="D17" s="24">
        <v>15.67</v>
      </c>
      <c r="E17" s="29">
        <f t="shared" si="0"/>
        <v>4.1355999999999984</v>
      </c>
      <c r="F17" s="12">
        <v>1.528</v>
      </c>
      <c r="G17" s="25"/>
      <c r="H17">
        <v>-9.3152000000000005E-5</v>
      </c>
      <c r="I17">
        <v>1.5227399999999999E-5</v>
      </c>
      <c r="J17">
        <f>-6.52075*10^-7</f>
        <v>-6.5207499999999991E-7</v>
      </c>
      <c r="K17">
        <f t="shared" si="1"/>
        <v>6.5207499999999991E-7</v>
      </c>
      <c r="L17">
        <f t="shared" si="2"/>
        <v>1.083794E-4</v>
      </c>
      <c r="M17">
        <v>1.08379E-4</v>
      </c>
      <c r="N17">
        <v>0.99797800000000003</v>
      </c>
    </row>
    <row r="18" spans="1:14" x14ac:dyDescent="0.25">
      <c r="A18" s="22">
        <v>359</v>
      </c>
      <c r="B18" s="25">
        <v>0.22109100000000001</v>
      </c>
      <c r="C18" s="22">
        <v>18.7256</v>
      </c>
      <c r="D18" s="24">
        <v>12.9</v>
      </c>
      <c r="E18" s="29">
        <f t="shared" si="0"/>
        <v>5.8255999999999997</v>
      </c>
      <c r="F18" s="48">
        <v>1.528</v>
      </c>
      <c r="G18" s="25"/>
      <c r="H18">
        <v>-1.17497E-4</v>
      </c>
      <c r="I18">
        <v>3.1329299999999998E-5</v>
      </c>
      <c r="J18">
        <f>-1.3416*10^-6</f>
        <v>-1.3415999999999998E-6</v>
      </c>
      <c r="K18">
        <f t="shared" si="1"/>
        <v>1.3415999999999998E-6</v>
      </c>
      <c r="L18">
        <f t="shared" si="2"/>
        <v>1.4882630000000001E-4</v>
      </c>
      <c r="M18">
        <v>1.4882599999999999E-4</v>
      </c>
      <c r="N18">
        <v>0.99865300000000001</v>
      </c>
    </row>
    <row r="19" spans="1:14" x14ac:dyDescent="0.25">
      <c r="A19" s="22">
        <v>430</v>
      </c>
      <c r="B19" s="22">
        <v>0.21682799999999999</v>
      </c>
      <c r="C19" s="22">
        <v>18.815799999999999</v>
      </c>
      <c r="D19" s="24">
        <v>13.87</v>
      </c>
      <c r="E19" s="29">
        <f t="shared" si="0"/>
        <v>4.9458000000000002</v>
      </c>
      <c r="F19" s="12">
        <v>1.5249999999999999</v>
      </c>
      <c r="G19" s="25"/>
      <c r="H19">
        <v>-9.9462800000000006E-5</v>
      </c>
      <c r="I19">
        <v>2.7237699999999998E-5</v>
      </c>
      <c r="J19">
        <f>-1.24826*10^-6</f>
        <v>-1.2482599999999999E-6</v>
      </c>
      <c r="K19">
        <f t="shared" si="1"/>
        <v>1.2482599999999999E-6</v>
      </c>
      <c r="L19">
        <f t="shared" si="2"/>
        <v>1.267005E-4</v>
      </c>
      <c r="M19">
        <v>1.2669999999999999E-4</v>
      </c>
      <c r="N19">
        <v>0.99913399999999997</v>
      </c>
    </row>
    <row r="20" spans="1:14" x14ac:dyDescent="0.25">
      <c r="A20" s="22">
        <v>450</v>
      </c>
      <c r="B20" s="22">
        <v>0.22445100000000001</v>
      </c>
      <c r="C20" s="22">
        <v>19.8889</v>
      </c>
      <c r="D20" s="24">
        <v>14.78</v>
      </c>
      <c r="E20" s="29">
        <f t="shared" si="0"/>
        <v>5.1089000000000002</v>
      </c>
      <c r="F20" s="12">
        <v>1.5289999999999999</v>
      </c>
      <c r="G20" s="25"/>
      <c r="H20">
        <v>-1.1023600000000001E-4</v>
      </c>
      <c r="I20">
        <v>2.2510400000000001E-5</v>
      </c>
      <c r="J20">
        <f>-9.41399*10^-7</f>
        <v>-9.4139899999999997E-7</v>
      </c>
      <c r="K20">
        <f t="shared" si="1"/>
        <v>9.4139899999999997E-7</v>
      </c>
      <c r="L20">
        <f t="shared" si="2"/>
        <v>1.3274640000000002E-4</v>
      </c>
      <c r="M20">
        <v>1.3274599999999999E-4</v>
      </c>
      <c r="N20">
        <v>0.99887099999999995</v>
      </c>
    </row>
    <row r="21" spans="1:14" x14ac:dyDescent="0.25">
      <c r="A21" s="22">
        <v>479</v>
      </c>
      <c r="B21" s="22">
        <v>0.20982100000000001</v>
      </c>
      <c r="C21" s="22">
        <v>20.399999999999999</v>
      </c>
      <c r="D21" s="24">
        <v>14.11</v>
      </c>
      <c r="E21" s="29">
        <f t="shared" si="0"/>
        <v>6.2899999999999991</v>
      </c>
      <c r="F21" s="12">
        <v>1.5369999999999999</v>
      </c>
      <c r="G21" s="25"/>
      <c r="H21">
        <v>-1.2838199999999999E-4</v>
      </c>
      <c r="I21">
        <v>3.2991599999999998E-5</v>
      </c>
      <c r="J21">
        <f>-1.11542*10^-6</f>
        <v>-1.1154200000000001E-6</v>
      </c>
      <c r="K21">
        <f t="shared" si="1"/>
        <v>1.1154200000000001E-6</v>
      </c>
      <c r="L21">
        <f t="shared" si="2"/>
        <v>1.6137359999999999E-4</v>
      </c>
      <c r="M21">
        <v>1.6137399999999999E-4</v>
      </c>
      <c r="N21">
        <v>0.99819800000000003</v>
      </c>
    </row>
    <row r="22" spans="1:14" x14ac:dyDescent="0.25">
      <c r="A22" s="22">
        <v>518</v>
      </c>
      <c r="B22" s="22">
        <v>0.17086599999999999</v>
      </c>
      <c r="C22" s="22">
        <v>17.9345</v>
      </c>
      <c r="D22" s="24">
        <v>8.76</v>
      </c>
      <c r="E22" s="29">
        <f t="shared" si="0"/>
        <v>9.1745000000000001</v>
      </c>
      <c r="F22" s="12">
        <v>1.526</v>
      </c>
      <c r="G22" s="25"/>
      <c r="H22">
        <v>-1.0331300000000001E-4</v>
      </c>
      <c r="I22">
        <v>9.4275299999999995E-5</v>
      </c>
      <c r="J22">
        <f>-4.22601*10^-6</f>
        <v>-4.2260099999999997E-6</v>
      </c>
      <c r="K22">
        <f t="shared" si="1"/>
        <v>4.2260099999999997E-6</v>
      </c>
      <c r="L22">
        <f t="shared" si="2"/>
        <v>1.975883E-4</v>
      </c>
      <c r="M22">
        <v>1.9758899999999999E-4</v>
      </c>
      <c r="N22">
        <v>0.99880100000000005</v>
      </c>
    </row>
    <row r="23" spans="1:14" x14ac:dyDescent="0.25">
      <c r="A23" s="22">
        <v>583</v>
      </c>
      <c r="B23" s="22">
        <v>0.129385</v>
      </c>
      <c r="C23" s="22">
        <v>17.508600000000001</v>
      </c>
      <c r="D23" s="24">
        <v>8.52</v>
      </c>
      <c r="E23" s="29">
        <f t="shared" si="0"/>
        <v>8.9886000000000017</v>
      </c>
      <c r="F23" s="12">
        <v>1.52</v>
      </c>
      <c r="G23" s="25"/>
      <c r="H23">
        <v>3.3005600000000001E-5</v>
      </c>
      <c r="I23">
        <v>2.19046E-4</v>
      </c>
      <c r="J23">
        <v>-1.11363E-5</v>
      </c>
      <c r="K23">
        <f t="shared" si="1"/>
        <v>1.11363E-5</v>
      </c>
      <c r="L23">
        <f t="shared" si="2"/>
        <v>1.860404E-4</v>
      </c>
      <c r="M23">
        <v>1.8604E-4</v>
      </c>
      <c r="N23">
        <v>0.99832200000000004</v>
      </c>
    </row>
    <row r="24" spans="1:14" x14ac:dyDescent="0.25">
      <c r="A24" s="22">
        <v>593</v>
      </c>
      <c r="B24" s="22">
        <v>0.14552999999999999</v>
      </c>
      <c r="C24" s="22">
        <v>20.9939</v>
      </c>
      <c r="D24" s="24">
        <v>10.41</v>
      </c>
      <c r="E24" s="29">
        <f t="shared" si="0"/>
        <v>10.5839</v>
      </c>
      <c r="F24" s="12">
        <v>1.528</v>
      </c>
      <c r="G24" s="25"/>
      <c r="H24">
        <v>-1.2655699999999999E-4</v>
      </c>
      <c r="I24">
        <v>1.05101E-4</v>
      </c>
      <c r="J24">
        <f>-4.5007*10^-6</f>
        <v>-4.5007E-6</v>
      </c>
      <c r="K24">
        <f t="shared" si="1"/>
        <v>4.5007E-6</v>
      </c>
      <c r="L24">
        <f t="shared" si="2"/>
        <v>2.3165799999999998E-4</v>
      </c>
      <c r="M24">
        <v>2.3165800000000001E-4</v>
      </c>
      <c r="N24">
        <v>0.99799099999999996</v>
      </c>
    </row>
    <row r="25" spans="1:14" x14ac:dyDescent="0.25">
      <c r="A25" s="22">
        <v>641</v>
      </c>
      <c r="B25" s="22">
        <v>0.14865700000000001</v>
      </c>
      <c r="C25" s="22">
        <v>18.815799999999999</v>
      </c>
      <c r="D25" s="24">
        <v>12.45</v>
      </c>
      <c r="E25" s="29">
        <f t="shared" si="0"/>
        <v>6.3658000000000001</v>
      </c>
      <c r="F25" s="12">
        <v>1.5269999999999999</v>
      </c>
      <c r="G25" s="25"/>
      <c r="H25">
        <v>-4.6112400000000003E-5</v>
      </c>
      <c r="I25">
        <v>1.06356E-4</v>
      </c>
      <c r="J25">
        <f>-4.661*10^-6</f>
        <v>-4.6609999999999991E-6</v>
      </c>
      <c r="K25">
        <f t="shared" si="1"/>
        <v>4.6609999999999991E-6</v>
      </c>
      <c r="L25">
        <f t="shared" si="2"/>
        <v>1.5246840000000001E-4</v>
      </c>
      <c r="M25">
        <v>1.5246899999999999E-4</v>
      </c>
      <c r="N25">
        <v>0.999193</v>
      </c>
    </row>
    <row r="26" spans="1:14" x14ac:dyDescent="0.25">
      <c r="A26" s="22">
        <v>659</v>
      </c>
      <c r="B26" s="22">
        <v>0.20380999999999999</v>
      </c>
      <c r="C26" s="22">
        <v>16</v>
      </c>
      <c r="D26" s="24">
        <v>10.11</v>
      </c>
      <c r="E26" s="29">
        <f t="shared" si="0"/>
        <v>5.8900000000000006</v>
      </c>
      <c r="F26" s="12">
        <v>1.524</v>
      </c>
      <c r="G26" s="25"/>
      <c r="H26">
        <v>-8.0750399999999999E-5</v>
      </c>
      <c r="I26">
        <v>5.9690900000000001E-5</v>
      </c>
      <c r="J26">
        <f>-2.79535*10^-6</f>
        <v>-2.7953499999999998E-6</v>
      </c>
      <c r="K26">
        <f t="shared" si="1"/>
        <v>2.7953499999999998E-6</v>
      </c>
      <c r="L26">
        <f t="shared" si="2"/>
        <v>1.4044129999999999E-4</v>
      </c>
      <c r="M26">
        <v>1.4044099999999999E-4</v>
      </c>
      <c r="N26">
        <v>0.99933499999999997</v>
      </c>
    </row>
    <row r="27" spans="1:14" x14ac:dyDescent="0.25">
      <c r="A27" s="22">
        <v>665</v>
      </c>
      <c r="B27" s="22">
        <v>0.198544</v>
      </c>
      <c r="C27" s="22">
        <v>19.324300000000001</v>
      </c>
      <c r="D27" s="24">
        <v>12.89</v>
      </c>
      <c r="E27" s="29">
        <f t="shared" si="0"/>
        <v>6.4343000000000004</v>
      </c>
      <c r="F27" s="12">
        <v>1.532</v>
      </c>
      <c r="G27" s="25"/>
      <c r="H27">
        <v>-1.1776E-4</v>
      </c>
      <c r="I27">
        <v>4.26686E-5</v>
      </c>
      <c r="J27">
        <f>-1.65622*10^-6</f>
        <v>-1.65622E-6</v>
      </c>
      <c r="K27">
        <f t="shared" si="1"/>
        <v>1.65622E-6</v>
      </c>
      <c r="L27">
        <f t="shared" si="2"/>
        <v>1.6042859999999999E-4</v>
      </c>
      <c r="M27">
        <v>1.6042899999999999E-4</v>
      </c>
      <c r="N27">
        <v>0.99785800000000002</v>
      </c>
    </row>
    <row r="28" spans="1:14" x14ac:dyDescent="0.25">
      <c r="A28" s="22">
        <v>676</v>
      </c>
      <c r="B28" s="25">
        <v>0.20325599999999999</v>
      </c>
      <c r="C28" s="22">
        <v>19.4054</v>
      </c>
      <c r="D28" s="24">
        <v>12.97</v>
      </c>
      <c r="E28" s="29">
        <f t="shared" si="0"/>
        <v>6.4353999999999996</v>
      </c>
      <c r="F28" s="12">
        <v>1.534</v>
      </c>
      <c r="G28" s="25"/>
      <c r="H28">
        <v>-1.20778E-4</v>
      </c>
      <c r="I28">
        <v>4.0533900000000002E-5</v>
      </c>
      <c r="J28">
        <f>-1.49217*10^-6</f>
        <v>-1.4921699999999999E-6</v>
      </c>
      <c r="K28">
        <f t="shared" si="1"/>
        <v>1.4921699999999999E-6</v>
      </c>
      <c r="L28">
        <f t="shared" si="2"/>
        <v>1.6131190000000001E-4</v>
      </c>
      <c r="M28">
        <v>1.6131199999999999E-4</v>
      </c>
      <c r="N28">
        <v>0.99904800000000005</v>
      </c>
    </row>
    <row r="29" spans="1:14" x14ac:dyDescent="0.25">
      <c r="A29" s="22">
        <v>677</v>
      </c>
      <c r="B29" s="25">
        <v>0.19633</v>
      </c>
      <c r="C29" s="22">
        <v>18.8947</v>
      </c>
      <c r="D29" s="24">
        <v>12.63</v>
      </c>
      <c r="E29" s="29">
        <f t="shared" si="0"/>
        <v>6.2646999999999995</v>
      </c>
      <c r="F29" s="25">
        <v>1.5289999999999999</v>
      </c>
      <c r="G29" s="25"/>
      <c r="H29">
        <v>-1.10956E-4</v>
      </c>
      <c r="I29">
        <v>4.4469499999999998E-5</v>
      </c>
      <c r="J29">
        <f>-1.85974*10^-6</f>
        <v>-1.8597399999999998E-6</v>
      </c>
      <c r="K29">
        <f t="shared" si="1"/>
        <v>1.8597399999999998E-6</v>
      </c>
      <c r="L29">
        <f t="shared" si="2"/>
        <v>1.554255E-4</v>
      </c>
      <c r="M29">
        <v>1.5542600000000001E-4</v>
      </c>
      <c r="N29">
        <v>0.99892199999999998</v>
      </c>
    </row>
    <row r="30" spans="1:14" x14ac:dyDescent="0.25">
      <c r="A30" s="43" t="s">
        <v>6</v>
      </c>
      <c r="B30" s="44">
        <f>AVERAGE(B3:B29)</f>
        <v>0.1875009259259259</v>
      </c>
      <c r="C30" s="44">
        <f t="shared" ref="C30:N30" si="3">AVERAGE(C3:C29)</f>
        <v>19.796392592592593</v>
      </c>
      <c r="D30" s="44">
        <f t="shared" si="3"/>
        <v>12.52962962962963</v>
      </c>
      <c r="E30" s="44">
        <f t="shared" si="3"/>
        <v>7.2667629629629626</v>
      </c>
      <c r="F30" s="44">
        <f t="shared" si="3"/>
        <v>1.5284074074074072</v>
      </c>
      <c r="G30" s="44" t="s">
        <v>52</v>
      </c>
      <c r="H30" s="44">
        <f t="shared" si="3"/>
        <v>-1.1160601481481484E-4</v>
      </c>
      <c r="I30" s="44">
        <f t="shared" si="3"/>
        <v>6.0888266666666664E-5</v>
      </c>
      <c r="J30" s="44">
        <f t="shared" si="3"/>
        <v>-2.6903078888888884E-6</v>
      </c>
      <c r="K30" s="44">
        <f t="shared" si="3"/>
        <v>2.6903078888888884E-6</v>
      </c>
      <c r="L30" s="44">
        <f t="shared" si="3"/>
        <v>1.7249428148148152E-4</v>
      </c>
      <c r="M30" s="44">
        <f>-AVERAGE(M3:M29)</f>
        <v>-1.7249437037037039E-4</v>
      </c>
      <c r="N30" s="44">
        <f t="shared" si="3"/>
        <v>0.99848559259259262</v>
      </c>
    </row>
    <row r="31" spans="1:14" x14ac:dyDescent="0.25">
      <c r="A31" s="45" t="s">
        <v>7</v>
      </c>
      <c r="B31" s="12">
        <f>_xlfn.STDEV.P(B3:B29)</f>
        <v>2.934058545191625E-2</v>
      </c>
      <c r="C31" s="12">
        <f t="shared" ref="C31:N31" si="4">_xlfn.STDEV.P(C3:C29)</f>
        <v>1.787916737419595</v>
      </c>
      <c r="D31" s="12">
        <f t="shared" si="4"/>
        <v>2.4796049289285031</v>
      </c>
      <c r="E31" s="12">
        <f t="shared" si="4"/>
        <v>2.2689967391629202</v>
      </c>
      <c r="F31" s="12">
        <f t="shared" si="4"/>
        <v>5.5595047691735693E-3</v>
      </c>
      <c r="G31" s="12" t="s">
        <v>53</v>
      </c>
      <c r="H31" s="12">
        <f t="shared" si="4"/>
        <v>3.932685751793647E-5</v>
      </c>
      <c r="I31" s="12">
        <f t="shared" si="4"/>
        <v>4.2996362322031474E-5</v>
      </c>
      <c r="J31" s="12">
        <f t="shared" si="4"/>
        <v>2.183961355206454E-6</v>
      </c>
      <c r="K31" s="12">
        <f t="shared" si="4"/>
        <v>2.183961355206454E-6</v>
      </c>
      <c r="L31" s="12">
        <f t="shared" si="4"/>
        <v>3.9856579985521197E-5</v>
      </c>
      <c r="M31" s="12">
        <f t="shared" si="4"/>
        <v>3.9856598433354045E-5</v>
      </c>
      <c r="N31" s="12">
        <f t="shared" si="4"/>
        <v>5.605486240685359E-4</v>
      </c>
    </row>
    <row r="32" spans="1:14" x14ac:dyDescent="0.25">
      <c r="A32" s="45" t="s">
        <v>8</v>
      </c>
      <c r="B32" s="12">
        <f>B30+B31</f>
        <v>0.21684151137784216</v>
      </c>
      <c r="C32" s="42"/>
      <c r="D32" s="42"/>
      <c r="E32" s="42"/>
      <c r="F32" s="42"/>
      <c r="G32" s="42"/>
    </row>
    <row r="33" spans="1:7" ht="15.75" thickBot="1" x14ac:dyDescent="0.3">
      <c r="A33" s="46" t="s">
        <v>9</v>
      </c>
      <c r="B33" s="47">
        <f>B30-B31</f>
        <v>0.15816034047400965</v>
      </c>
      <c r="C33" s="42"/>
      <c r="D33" s="42"/>
      <c r="E33" s="42"/>
      <c r="F33" s="42"/>
      <c r="G33" s="42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5"/>
  <sheetViews>
    <sheetView tabSelected="1" workbookViewId="0">
      <selection activeCell="K11" sqref="K11"/>
    </sheetView>
  </sheetViews>
  <sheetFormatPr defaultRowHeight="15" x14ac:dyDescent="0.25"/>
  <cols>
    <col min="2" max="2" width="24.140625" bestFit="1" customWidth="1"/>
    <col min="3" max="3" width="24.140625" customWidth="1"/>
    <col min="4" max="4" width="24.85546875" bestFit="1" customWidth="1"/>
    <col min="5" max="5" width="10.7109375" bestFit="1" customWidth="1"/>
    <col min="6" max="6" width="46.85546875" bestFit="1" customWidth="1"/>
  </cols>
  <sheetData>
    <row r="1" spans="1:6" x14ac:dyDescent="0.25">
      <c r="A1" s="13" t="s">
        <v>105</v>
      </c>
      <c r="B1" s="13" t="s">
        <v>106</v>
      </c>
      <c r="C1" s="13" t="s">
        <v>122</v>
      </c>
      <c r="D1" s="13" t="s">
        <v>107</v>
      </c>
      <c r="E1" s="13" t="s">
        <v>108</v>
      </c>
      <c r="F1" s="13" t="s">
        <v>163</v>
      </c>
    </row>
    <row r="2" spans="1:6" x14ac:dyDescent="0.25">
      <c r="A2" s="13" t="s">
        <v>109</v>
      </c>
      <c r="B2" s="13">
        <v>5127348.6500000004</v>
      </c>
      <c r="C2" s="13">
        <f>B2*10^-6</f>
        <v>5.1273486500000001</v>
      </c>
      <c r="D2" s="13">
        <v>6.8781409714285727E-9</v>
      </c>
      <c r="E2" s="13" t="s">
        <v>110</v>
      </c>
      <c r="F2" s="13"/>
    </row>
    <row r="3" spans="1:6" x14ac:dyDescent="0.25">
      <c r="A3" s="13" t="s">
        <v>111</v>
      </c>
      <c r="B3" s="13">
        <v>3056213.4</v>
      </c>
      <c r="C3" s="13">
        <f t="shared" ref="C3:C11" si="0">B3*10^-6</f>
        <v>3.0562133999999999</v>
      </c>
      <c r="D3" s="13">
        <v>5.7618924999999986E-9</v>
      </c>
      <c r="E3" s="13" t="s">
        <v>110</v>
      </c>
      <c r="F3" s="13" t="s">
        <v>112</v>
      </c>
    </row>
    <row r="4" spans="1:6" x14ac:dyDescent="0.25">
      <c r="A4" s="13" t="s">
        <v>113</v>
      </c>
      <c r="B4" s="13">
        <v>4048182.6</v>
      </c>
      <c r="C4" s="13">
        <f t="shared" si="0"/>
        <v>4.0481825999999996</v>
      </c>
      <c r="D4" s="13">
        <v>5.7618924999999986E-9</v>
      </c>
      <c r="E4" s="13" t="s">
        <v>110</v>
      </c>
      <c r="F4" s="13"/>
    </row>
    <row r="5" spans="1:6" x14ac:dyDescent="0.25">
      <c r="A5" s="13" t="s">
        <v>115</v>
      </c>
      <c r="B5" s="13">
        <v>2379843.96</v>
      </c>
      <c r="C5" s="13">
        <f t="shared" si="0"/>
        <v>2.3798439599999996</v>
      </c>
      <c r="D5" s="13">
        <v>6.8520016499999988E-9</v>
      </c>
      <c r="E5" s="13" t="s">
        <v>114</v>
      </c>
      <c r="F5" s="13"/>
    </row>
    <row r="6" spans="1:6" x14ac:dyDescent="0.25">
      <c r="A6" s="13" t="s">
        <v>116</v>
      </c>
      <c r="B6" s="13">
        <v>3913564.81</v>
      </c>
      <c r="C6" s="13">
        <f t="shared" si="0"/>
        <v>3.91356481</v>
      </c>
      <c r="D6" s="13">
        <v>5.4340693333333337E-9</v>
      </c>
      <c r="E6" s="13" t="s">
        <v>114</v>
      </c>
      <c r="F6" s="13"/>
    </row>
    <row r="7" spans="1:6" x14ac:dyDescent="0.25">
      <c r="A7" s="13" t="s">
        <v>117</v>
      </c>
      <c r="B7" s="13">
        <v>3583772.94</v>
      </c>
      <c r="C7" s="13">
        <f t="shared" si="0"/>
        <v>3.5837729399999998</v>
      </c>
      <c r="D7" s="13">
        <v>7.1682082909090918E-9</v>
      </c>
      <c r="E7" s="13" t="s">
        <v>114</v>
      </c>
      <c r="F7" s="13"/>
    </row>
    <row r="8" spans="1:6" x14ac:dyDescent="0.25">
      <c r="A8" s="13" t="s">
        <v>118</v>
      </c>
      <c r="B8" s="13">
        <v>7034502.4100000001</v>
      </c>
      <c r="C8" s="13">
        <f t="shared" si="0"/>
        <v>7.03450241</v>
      </c>
      <c r="D8" s="13">
        <v>3.77717944E-9</v>
      </c>
      <c r="E8" s="13"/>
      <c r="F8" s="13"/>
    </row>
    <row r="9" spans="1:6" x14ac:dyDescent="0.25">
      <c r="A9" s="13" t="s">
        <v>119</v>
      </c>
      <c r="B9" s="13">
        <v>8174127.75</v>
      </c>
      <c r="C9" s="13">
        <f t="shared" si="0"/>
        <v>8.1741277500000002</v>
      </c>
      <c r="D9" s="13">
        <v>2.4265119999999999E-9</v>
      </c>
      <c r="E9" s="13"/>
      <c r="F9" s="13"/>
    </row>
    <row r="10" spans="1:6" x14ac:dyDescent="0.25">
      <c r="A10" s="13" t="s">
        <v>120</v>
      </c>
      <c r="B10" s="13">
        <v>1999360.91</v>
      </c>
      <c r="C10" s="13">
        <f t="shared" si="0"/>
        <v>1.9993609099999998</v>
      </c>
      <c r="D10" s="13">
        <v>1.6759912399999998E-8</v>
      </c>
      <c r="E10" s="13"/>
      <c r="F10" s="13"/>
    </row>
    <row r="11" spans="1:6" x14ac:dyDescent="0.25">
      <c r="A11" s="13" t="s">
        <v>121</v>
      </c>
      <c r="B11" s="13">
        <v>1989689.73</v>
      </c>
      <c r="C11" s="13">
        <f t="shared" si="0"/>
        <v>1.9896897299999998</v>
      </c>
      <c r="D11" s="13">
        <v>1.3570750000000001E-8</v>
      </c>
      <c r="E11" s="13"/>
      <c r="F11" s="13"/>
    </row>
    <row r="12" spans="1:6" x14ac:dyDescent="0.25">
      <c r="B12" s="147" t="s">
        <v>6</v>
      </c>
      <c r="C12" s="148">
        <f>AVERAGE(C2:C4,C5:C6,C7,C8:C11)</f>
        <v>4.1306607159999995</v>
      </c>
      <c r="D12" s="149">
        <f>AVERAGE(D2:D4,D5:D6,D7,D8:D11)</f>
        <v>7.4390559085670998E-9</v>
      </c>
    </row>
    <row r="13" spans="1:6" ht="15.75" thickBot="1" x14ac:dyDescent="0.3">
      <c r="B13" s="144" t="s">
        <v>123</v>
      </c>
      <c r="C13" s="145">
        <f>_xlfn.STDEV.P(C2:C4,C5:C6,C7,C8:C12)</f>
        <v>1.8943533452221357</v>
      </c>
      <c r="D13" s="146">
        <f>_xlfn.STDEV.P(D2:D4,D5:D6,D7,D8:D12)</f>
        <v>3.9702222966993689E-9</v>
      </c>
    </row>
    <row r="14" spans="1:6" x14ac:dyDescent="0.25">
      <c r="B14" t="s">
        <v>129</v>
      </c>
      <c r="C14">
        <f>C12+C13</f>
        <v>6.0250140612221355</v>
      </c>
    </row>
    <row r="15" spans="1:6" x14ac:dyDescent="0.25">
      <c r="B15" t="s">
        <v>130</v>
      </c>
      <c r="C15">
        <f>C12-C13</f>
        <v>2.2363073707778636</v>
      </c>
    </row>
  </sheetData>
  <pageMargins left="0.7" right="0.7" top="0.75" bottom="0.75" header="0.3" footer="0.3"/>
  <pageSetup scale="8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N36"/>
  <sheetViews>
    <sheetView workbookViewId="0">
      <selection activeCell="H33" activeCellId="2" sqref="B33:C34 E33:F34 H33:N34"/>
    </sheetView>
  </sheetViews>
  <sheetFormatPr defaultRowHeight="15" x14ac:dyDescent="0.25"/>
  <cols>
    <col min="8" max="8" width="12" bestFit="1" customWidth="1"/>
    <col min="11" max="11" width="12" bestFit="1" customWidth="1"/>
    <col min="14" max="14" width="14.5703125" customWidth="1"/>
  </cols>
  <sheetData>
    <row r="1" spans="1:14" x14ac:dyDescent="0.25">
      <c r="A1" s="212" t="s">
        <v>27</v>
      </c>
      <c r="B1" s="213"/>
      <c r="C1" s="213"/>
      <c r="D1" s="213"/>
      <c r="E1" s="213"/>
      <c r="F1" s="214"/>
      <c r="G1" s="42"/>
    </row>
    <row r="2" spans="1:14" ht="45" x14ac:dyDescent="0.25">
      <c r="A2" s="1" t="s">
        <v>1</v>
      </c>
      <c r="B2" s="2" t="s">
        <v>2</v>
      </c>
      <c r="C2" s="2" t="s">
        <v>19</v>
      </c>
      <c r="D2" s="2" t="s">
        <v>20</v>
      </c>
      <c r="E2" s="2" t="s">
        <v>44</v>
      </c>
      <c r="F2" s="3" t="s">
        <v>4</v>
      </c>
      <c r="G2" s="41" t="s">
        <v>5</v>
      </c>
      <c r="H2" s="3" t="s">
        <v>37</v>
      </c>
      <c r="I2" s="50" t="s">
        <v>39</v>
      </c>
      <c r="J2" s="50" t="s">
        <v>41</v>
      </c>
      <c r="K2" s="50" t="s">
        <v>38</v>
      </c>
      <c r="L2" s="3" t="s">
        <v>42</v>
      </c>
      <c r="M2" s="3" t="s">
        <v>40</v>
      </c>
      <c r="N2" s="50" t="s">
        <v>43</v>
      </c>
    </row>
    <row r="3" spans="1:14" x14ac:dyDescent="0.25">
      <c r="A3" s="22">
        <v>8</v>
      </c>
      <c r="B3" s="42">
        <v>0.18462899999999999</v>
      </c>
      <c r="C3" s="29">
        <v>23.4483</v>
      </c>
      <c r="D3" s="29">
        <v>15.07</v>
      </c>
      <c r="E3" s="29">
        <f>C3-D3</f>
        <v>8.3782999999999994</v>
      </c>
      <c r="F3" s="12">
        <v>1.5489999999999999</v>
      </c>
      <c r="G3" s="25"/>
      <c r="H3">
        <v>-1.67904E-4</v>
      </c>
      <c r="I3">
        <v>4.7116500000000002E-5</v>
      </c>
      <c r="J3">
        <f>-1.02713*10^-6</f>
        <v>-1.0271300000000001E-6</v>
      </c>
      <c r="K3">
        <f>-J3</f>
        <v>1.0271300000000001E-6</v>
      </c>
      <c r="L3">
        <f>I3-H3</f>
        <v>2.1502049999999999E-4</v>
      </c>
      <c r="M3">
        <v>2.1502000000000001E-4</v>
      </c>
      <c r="N3">
        <v>0.99744900000000003</v>
      </c>
    </row>
    <row r="4" spans="1:14" x14ac:dyDescent="0.25">
      <c r="A4" s="22">
        <v>30</v>
      </c>
      <c r="B4" s="29">
        <v>0.173703</v>
      </c>
      <c r="C4" s="29">
        <v>21.7742</v>
      </c>
      <c r="D4" s="29">
        <v>13.55</v>
      </c>
      <c r="E4" s="29">
        <f t="shared" ref="E4:E32" si="0">C4-D4</f>
        <v>8.2241999999999997</v>
      </c>
      <c r="F4" s="12">
        <v>1.5409999999999999</v>
      </c>
      <c r="G4" s="25"/>
      <c r="H4">
        <v>-1.42418E-4</v>
      </c>
      <c r="I4">
        <v>5.84788E-5</v>
      </c>
      <c r="J4">
        <f>-1.74297*10^-6</f>
        <v>-1.7429699999999999E-6</v>
      </c>
      <c r="K4">
        <f t="shared" ref="K4:K32" si="1">-J4</f>
        <v>1.7429699999999999E-6</v>
      </c>
      <c r="L4">
        <f t="shared" ref="L4:L32" si="2">I4-H4</f>
        <v>2.008968E-4</v>
      </c>
      <c r="M4">
        <v>2.0089700000000001E-4</v>
      </c>
      <c r="N4">
        <v>0.99680199999999997</v>
      </c>
    </row>
    <row r="5" spans="1:14" x14ac:dyDescent="0.25">
      <c r="A5" s="22">
        <v>51</v>
      </c>
      <c r="B5" s="42">
        <v>0.17657</v>
      </c>
      <c r="C5" s="29">
        <v>19.7941</v>
      </c>
      <c r="D5" s="29">
        <v>9.65</v>
      </c>
      <c r="E5" s="29">
        <f t="shared" si="0"/>
        <v>10.1441</v>
      </c>
      <c r="F5" s="12">
        <v>1.5429999999999999</v>
      </c>
      <c r="G5" s="25"/>
      <c r="H5">
        <v>-1.37174E-4</v>
      </c>
      <c r="I5">
        <v>8.5656599999999996E-5</v>
      </c>
      <c r="J5">
        <f>-2.38155*10^-6</f>
        <v>-2.3815499999999997E-6</v>
      </c>
      <c r="K5">
        <f t="shared" si="1"/>
        <v>2.3815499999999997E-6</v>
      </c>
      <c r="L5">
        <f t="shared" si="2"/>
        <v>2.2283059999999999E-4</v>
      </c>
      <c r="M5">
        <v>2.2283099999999999E-4</v>
      </c>
      <c r="N5">
        <v>0.99706899999999998</v>
      </c>
    </row>
    <row r="6" spans="1:14" x14ac:dyDescent="0.25">
      <c r="A6" s="22">
        <v>86</v>
      </c>
      <c r="B6" s="22">
        <v>0.15736700000000001</v>
      </c>
      <c r="C6" s="22">
        <v>21</v>
      </c>
      <c r="D6" s="24">
        <v>10.25</v>
      </c>
      <c r="E6" s="29">
        <f t="shared" si="0"/>
        <v>10.75</v>
      </c>
      <c r="F6" s="12">
        <v>1.5469999999999999</v>
      </c>
      <c r="G6" s="25"/>
      <c r="H6">
        <v>-1.2454999999999999E-4</v>
      </c>
      <c r="I6">
        <v>1.04133E-4</v>
      </c>
      <c r="J6">
        <f>-2.47846*10^-6</f>
        <v>-2.4784599999999998E-6</v>
      </c>
      <c r="K6">
        <f t="shared" si="1"/>
        <v>2.4784599999999998E-6</v>
      </c>
      <c r="L6">
        <f t="shared" si="2"/>
        <v>2.2868299999999998E-4</v>
      </c>
      <c r="M6">
        <v>2.2868300000000001E-4</v>
      </c>
      <c r="N6">
        <v>0.99837100000000001</v>
      </c>
    </row>
    <row r="7" spans="1:14" x14ac:dyDescent="0.25">
      <c r="A7" s="22">
        <v>115</v>
      </c>
      <c r="B7" s="22">
        <v>0.182251</v>
      </c>
      <c r="C7" s="23">
        <v>20.781300000000002</v>
      </c>
      <c r="D7" s="24">
        <v>13.22</v>
      </c>
      <c r="E7" s="29">
        <f t="shared" si="0"/>
        <v>7.561300000000001</v>
      </c>
      <c r="F7" s="12">
        <v>1.5329999999999999</v>
      </c>
      <c r="G7" s="25"/>
      <c r="H7">
        <v>-1.36577E-4</v>
      </c>
      <c r="I7">
        <v>5.0484900000000002E-5</v>
      </c>
      <c r="J7">
        <f>-1.90905*10^-6</f>
        <v>-1.90905E-6</v>
      </c>
      <c r="K7">
        <f t="shared" si="1"/>
        <v>1.90905E-6</v>
      </c>
      <c r="L7">
        <f t="shared" si="2"/>
        <v>1.8706190000000001E-4</v>
      </c>
      <c r="M7">
        <v>1.8706199999999999E-4</v>
      </c>
      <c r="N7">
        <v>0.997085</v>
      </c>
    </row>
    <row r="8" spans="1:14" x14ac:dyDescent="0.25">
      <c r="A8" s="22">
        <v>136</v>
      </c>
      <c r="B8" s="12">
        <v>0.16480800000000001</v>
      </c>
      <c r="C8" s="22">
        <v>22.466699999999999</v>
      </c>
      <c r="D8" s="24">
        <v>10.83</v>
      </c>
      <c r="E8" s="29">
        <f t="shared" si="0"/>
        <v>11.636699999999999</v>
      </c>
      <c r="F8" s="12">
        <v>1.55</v>
      </c>
      <c r="G8" s="25"/>
      <c r="H8">
        <v>-1.7042000000000001E-4</v>
      </c>
      <c r="I8">
        <v>9.0820699999999996E-5</v>
      </c>
      <c r="J8">
        <f>-1.88901*10^-6</f>
        <v>-1.8890099999999999E-6</v>
      </c>
      <c r="K8">
        <f t="shared" si="1"/>
        <v>1.8890099999999999E-6</v>
      </c>
      <c r="L8">
        <f t="shared" si="2"/>
        <v>2.6124070000000001E-4</v>
      </c>
      <c r="M8">
        <v>2.61241E-4</v>
      </c>
      <c r="N8">
        <v>0.99679099999999998</v>
      </c>
    </row>
    <row r="9" spans="1:14" x14ac:dyDescent="0.25">
      <c r="A9" s="22">
        <v>175</v>
      </c>
      <c r="B9" s="12">
        <v>0.17117499999999999</v>
      </c>
      <c r="C9" s="22">
        <v>23.379300000000001</v>
      </c>
      <c r="D9" s="24">
        <v>14.97</v>
      </c>
      <c r="E9" s="29">
        <f t="shared" si="0"/>
        <v>8.4093</v>
      </c>
      <c r="F9" s="12">
        <v>1.552</v>
      </c>
      <c r="G9" s="25"/>
      <c r="H9">
        <v>-1.50352E-4</v>
      </c>
      <c r="I9">
        <v>5.7122500000000001E-5</v>
      </c>
      <c r="J9">
        <f>-1.07382*10^-6</f>
        <v>-1.0738199999999999E-6</v>
      </c>
      <c r="K9">
        <f t="shared" si="1"/>
        <v>1.0738199999999999E-6</v>
      </c>
      <c r="L9">
        <f t="shared" si="2"/>
        <v>2.0747450000000001E-4</v>
      </c>
      <c r="M9">
        <v>2.07474E-4</v>
      </c>
      <c r="N9">
        <v>0.99698799999999999</v>
      </c>
    </row>
    <row r="10" spans="1:14" x14ac:dyDescent="0.25">
      <c r="A10" s="22">
        <v>198</v>
      </c>
      <c r="B10" s="22">
        <v>0.16580400000000001</v>
      </c>
      <c r="C10" s="22">
        <v>21.903199999999998</v>
      </c>
      <c r="D10" s="24">
        <v>14.48</v>
      </c>
      <c r="E10" s="29">
        <f t="shared" si="0"/>
        <v>7.4231999999999978</v>
      </c>
      <c r="F10" s="12">
        <v>1.5509999999999999</v>
      </c>
      <c r="G10" s="25"/>
      <c r="H10">
        <v>-1.1286900000000001E-4</v>
      </c>
      <c r="I10">
        <v>6.6601199999999995E-5</v>
      </c>
      <c r="J10">
        <f>-1.31863*10^-6</f>
        <v>-1.3186299999999999E-6</v>
      </c>
      <c r="K10">
        <f t="shared" si="1"/>
        <v>1.3186299999999999E-6</v>
      </c>
      <c r="L10">
        <f t="shared" si="2"/>
        <v>1.794702E-4</v>
      </c>
      <c r="M10">
        <v>1.7946999999999999E-4</v>
      </c>
      <c r="N10">
        <v>0.99858400000000003</v>
      </c>
    </row>
    <row r="11" spans="1:14" x14ac:dyDescent="0.25">
      <c r="A11" s="22">
        <v>261</v>
      </c>
      <c r="B11" s="12">
        <v>0.16101099999999999</v>
      </c>
      <c r="C11" s="25">
        <v>18.1892</v>
      </c>
      <c r="D11" s="25">
        <v>11.65</v>
      </c>
      <c r="E11" s="29">
        <f t="shared" si="0"/>
        <v>6.5391999999999992</v>
      </c>
      <c r="F11" s="12">
        <v>1.526</v>
      </c>
      <c r="G11" s="25"/>
      <c r="H11">
        <v>-6.48263E-5</v>
      </c>
      <c r="I11">
        <v>9.0381299999999995E-5</v>
      </c>
      <c r="J11">
        <f>-4.05146*10^-6</f>
        <v>-4.0514599999999998E-6</v>
      </c>
      <c r="K11">
        <f t="shared" si="1"/>
        <v>4.0514599999999998E-6</v>
      </c>
      <c r="L11">
        <f t="shared" si="2"/>
        <v>1.5520759999999999E-4</v>
      </c>
      <c r="M11">
        <v>1.55208E-4</v>
      </c>
      <c r="N11">
        <v>0.99737500000000001</v>
      </c>
    </row>
    <row r="12" spans="1:14" x14ac:dyDescent="0.25">
      <c r="A12" s="22">
        <v>279</v>
      </c>
      <c r="B12" s="12">
        <v>0.18517900000000001</v>
      </c>
      <c r="C12" s="22">
        <v>19.257100000000001</v>
      </c>
      <c r="D12" s="24">
        <v>12.2</v>
      </c>
      <c r="E12" s="29">
        <f t="shared" si="0"/>
        <v>7.0571000000000019</v>
      </c>
      <c r="F12" s="12">
        <v>1.5409999999999999</v>
      </c>
      <c r="G12" s="25"/>
      <c r="H12">
        <v>-1.08686E-4</v>
      </c>
      <c r="I12">
        <v>6.0725199999999999E-5</v>
      </c>
      <c r="J12">
        <f>-1.80992*10^-6</f>
        <v>-1.8099199999999999E-6</v>
      </c>
      <c r="K12">
        <f t="shared" si="1"/>
        <v>1.8099199999999999E-6</v>
      </c>
      <c r="L12">
        <f t="shared" si="2"/>
        <v>1.694112E-4</v>
      </c>
      <c r="M12">
        <v>1.6941100000000001E-4</v>
      </c>
      <c r="N12">
        <v>0.99826800000000004</v>
      </c>
    </row>
    <row r="13" spans="1:14" x14ac:dyDescent="0.25">
      <c r="A13" s="22">
        <v>317</v>
      </c>
      <c r="B13" s="25">
        <v>0.11851</v>
      </c>
      <c r="C13" s="22">
        <v>20.363600000000002</v>
      </c>
      <c r="D13" s="24">
        <v>13.24</v>
      </c>
      <c r="E13" s="29">
        <f t="shared" si="0"/>
        <v>7.1236000000000015</v>
      </c>
      <c r="F13" s="12">
        <v>1.5309999999999999</v>
      </c>
      <c r="G13" s="25"/>
      <c r="H13" s="8">
        <v>3.1321700000000002E-5</v>
      </c>
      <c r="I13">
        <v>1.99333E-4</v>
      </c>
      <c r="J13">
        <f>-7.9369*10^-6</f>
        <v>-7.9368999999999985E-6</v>
      </c>
      <c r="K13">
        <f t="shared" si="1"/>
        <v>7.9368999999999985E-6</v>
      </c>
      <c r="L13">
        <f t="shared" si="2"/>
        <v>1.680113E-4</v>
      </c>
      <c r="M13">
        <v>1.68011E-4</v>
      </c>
      <c r="N13">
        <v>0.99693600000000004</v>
      </c>
    </row>
    <row r="14" spans="1:14" x14ac:dyDescent="0.25">
      <c r="A14" s="22">
        <v>340</v>
      </c>
      <c r="B14" s="26">
        <v>0.18812100000000001</v>
      </c>
      <c r="C14" s="25">
        <v>19.142900000000001</v>
      </c>
      <c r="D14" s="28">
        <v>12</v>
      </c>
      <c r="E14" s="29">
        <f t="shared" si="0"/>
        <v>7.1429000000000009</v>
      </c>
      <c r="F14" s="12">
        <v>1.538</v>
      </c>
      <c r="G14" s="25"/>
      <c r="H14">
        <v>-1.1397500000000001E-4</v>
      </c>
      <c r="I14">
        <v>5.8045599999999999E-5</v>
      </c>
      <c r="J14">
        <f>-1.90437*10^-6</f>
        <v>-1.9043699999999997E-6</v>
      </c>
      <c r="K14">
        <f t="shared" si="1"/>
        <v>1.9043699999999997E-6</v>
      </c>
      <c r="L14">
        <f t="shared" si="2"/>
        <v>1.7202060000000001E-4</v>
      </c>
      <c r="M14">
        <v>1.7202E-4</v>
      </c>
      <c r="N14">
        <v>0.99791600000000003</v>
      </c>
    </row>
    <row r="15" spans="1:14" x14ac:dyDescent="0.25">
      <c r="A15" s="22">
        <v>386</v>
      </c>
      <c r="B15" s="22">
        <v>0.172045</v>
      </c>
      <c r="C15" s="25">
        <v>19.852900000000002</v>
      </c>
      <c r="D15" s="24">
        <v>7.03</v>
      </c>
      <c r="E15" s="29">
        <f t="shared" si="0"/>
        <v>12.822900000000001</v>
      </c>
      <c r="F15" s="12">
        <v>1.548</v>
      </c>
      <c r="G15" s="25"/>
      <c r="H15">
        <v>-1.3458900000000001E-4</v>
      </c>
      <c r="I15">
        <v>1.0390099999999999E-4</v>
      </c>
      <c r="J15">
        <f>-2.36896*10^-6</f>
        <v>-2.3689599999999998E-6</v>
      </c>
      <c r="K15">
        <f t="shared" si="1"/>
        <v>2.3689599999999998E-6</v>
      </c>
      <c r="L15">
        <f t="shared" si="2"/>
        <v>2.3849E-4</v>
      </c>
      <c r="M15">
        <v>2.3848900000000001E-4</v>
      </c>
      <c r="N15">
        <v>0.99852700000000005</v>
      </c>
    </row>
    <row r="16" spans="1:14" x14ac:dyDescent="0.25">
      <c r="A16" s="22">
        <v>399</v>
      </c>
      <c r="B16" s="22">
        <v>0.16783300000000001</v>
      </c>
      <c r="C16" s="22">
        <v>19.1143</v>
      </c>
      <c r="D16" s="24">
        <v>9.3699999999999992</v>
      </c>
      <c r="E16" s="29">
        <f t="shared" si="0"/>
        <v>9.7443000000000008</v>
      </c>
      <c r="F16" s="12">
        <v>1.536</v>
      </c>
      <c r="G16" s="25"/>
      <c r="H16">
        <v>-1.14337E-4</v>
      </c>
      <c r="I16">
        <v>9.5326099999999995E-5</v>
      </c>
      <c r="J16">
        <f>-3.31834*10^-6</f>
        <v>-3.3183399999999999E-6</v>
      </c>
      <c r="K16">
        <f t="shared" si="1"/>
        <v>3.3183399999999999E-6</v>
      </c>
      <c r="L16">
        <f t="shared" si="2"/>
        <v>2.096631E-4</v>
      </c>
      <c r="M16">
        <v>2.0966299999999999E-4</v>
      </c>
      <c r="N16">
        <v>0.99738800000000005</v>
      </c>
    </row>
    <row r="17" spans="1:14" x14ac:dyDescent="0.25">
      <c r="A17" s="22">
        <v>464</v>
      </c>
      <c r="B17" s="22">
        <v>0.200381</v>
      </c>
      <c r="C17" s="22">
        <v>18.227</v>
      </c>
      <c r="D17" s="24">
        <v>12.07</v>
      </c>
      <c r="E17" s="29">
        <f t="shared" si="0"/>
        <v>6.157</v>
      </c>
      <c r="F17" s="12">
        <v>1.536</v>
      </c>
      <c r="G17" s="25"/>
      <c r="H17">
        <v>-1.01414E-4</v>
      </c>
      <c r="I17">
        <v>4.9320999999999998E-5</v>
      </c>
      <c r="J17">
        <f>-1.71688*10^-6</f>
        <v>-1.7168799999999999E-6</v>
      </c>
      <c r="K17">
        <f t="shared" si="1"/>
        <v>1.7168799999999999E-6</v>
      </c>
      <c r="L17">
        <f t="shared" si="2"/>
        <v>1.5073499999999999E-4</v>
      </c>
      <c r="M17">
        <v>1.5073500000000001E-4</v>
      </c>
      <c r="N17">
        <v>0.99776100000000001</v>
      </c>
    </row>
    <row r="18" spans="1:14" x14ac:dyDescent="0.25">
      <c r="A18" s="22">
        <v>495</v>
      </c>
      <c r="B18" s="25">
        <v>0.176783</v>
      </c>
      <c r="C18" s="22">
        <v>22.5</v>
      </c>
      <c r="D18" s="24">
        <v>14.07</v>
      </c>
      <c r="E18" s="29">
        <f t="shared" si="0"/>
        <v>8.43</v>
      </c>
      <c r="F18" s="12">
        <v>1.552</v>
      </c>
      <c r="G18" s="25"/>
      <c r="H18">
        <v>-1.4839599999999999E-4</v>
      </c>
      <c r="I18">
        <v>5.8302299999999999E-5</v>
      </c>
      <c r="J18">
        <f>-1.096*10^-6</f>
        <v>-1.096E-6</v>
      </c>
      <c r="K18">
        <f t="shared" si="1"/>
        <v>1.096E-6</v>
      </c>
      <c r="L18">
        <f t="shared" si="2"/>
        <v>2.066983E-4</v>
      </c>
      <c r="M18">
        <v>2.0669800000000001E-4</v>
      </c>
      <c r="N18">
        <v>0.99746599999999996</v>
      </c>
    </row>
    <row r="19" spans="1:14" x14ac:dyDescent="0.25">
      <c r="A19" s="22">
        <v>532</v>
      </c>
      <c r="B19" s="22">
        <v>0.19367899999999999</v>
      </c>
      <c r="C19" s="22">
        <v>20.606100000000001</v>
      </c>
      <c r="D19" s="24">
        <v>13.03</v>
      </c>
      <c r="E19" s="29">
        <f t="shared" si="0"/>
        <v>7.5761000000000021</v>
      </c>
      <c r="F19" s="12">
        <v>1.5409999999999999</v>
      </c>
      <c r="G19" s="25"/>
      <c r="H19">
        <v>-1.4016199999999999E-4</v>
      </c>
      <c r="I19">
        <v>4.8457800000000002E-5</v>
      </c>
      <c r="J19">
        <f>-1.44429*10^-6</f>
        <v>-1.44429E-6</v>
      </c>
      <c r="K19">
        <f t="shared" si="1"/>
        <v>1.44429E-6</v>
      </c>
      <c r="L19">
        <f t="shared" si="2"/>
        <v>1.8861980000000001E-4</v>
      </c>
      <c r="M19">
        <v>1.8861999999999999E-4</v>
      </c>
      <c r="N19">
        <v>0.99831199999999998</v>
      </c>
    </row>
    <row r="20" spans="1:14" x14ac:dyDescent="0.25">
      <c r="A20" s="22">
        <v>552</v>
      </c>
      <c r="B20" s="22">
        <v>0.17375599999999999</v>
      </c>
      <c r="C20" s="22">
        <v>19.224299999999999</v>
      </c>
      <c r="D20" s="24">
        <v>10.51</v>
      </c>
      <c r="E20" s="29">
        <f t="shared" si="0"/>
        <v>8.7142999999999997</v>
      </c>
      <c r="F20" s="12">
        <v>1.54</v>
      </c>
      <c r="G20" s="25"/>
      <c r="H20">
        <v>-1.13662E-4</v>
      </c>
      <c r="I20">
        <v>8.28586E-5</v>
      </c>
      <c r="J20">
        <f>-2.55255*10^-6</f>
        <v>-2.5525499999999998E-6</v>
      </c>
      <c r="K20">
        <f t="shared" si="1"/>
        <v>2.5525499999999998E-6</v>
      </c>
      <c r="L20">
        <f t="shared" si="2"/>
        <v>1.9652059999999998E-4</v>
      </c>
      <c r="M20">
        <v>1.9652100000000001E-4</v>
      </c>
      <c r="N20">
        <v>0.99698500000000001</v>
      </c>
    </row>
    <row r="21" spans="1:14" x14ac:dyDescent="0.25">
      <c r="A21" s="22">
        <v>579</v>
      </c>
      <c r="B21" s="22">
        <v>0.16742899999999999</v>
      </c>
      <c r="C21" s="22">
        <v>21</v>
      </c>
      <c r="D21" s="24">
        <v>10.19</v>
      </c>
      <c r="E21" s="29">
        <f t="shared" si="0"/>
        <v>10.81</v>
      </c>
      <c r="F21" s="12">
        <v>1.5449999999999999</v>
      </c>
      <c r="G21" s="25"/>
      <c r="H21">
        <v>-1.4719000000000001E-4</v>
      </c>
      <c r="I21">
        <v>9.0390700000000002E-5</v>
      </c>
      <c r="J21">
        <f>-2.33227*10^-6</f>
        <v>-2.3322699999999997E-6</v>
      </c>
      <c r="K21">
        <f t="shared" si="1"/>
        <v>2.3322699999999997E-6</v>
      </c>
      <c r="L21">
        <f t="shared" si="2"/>
        <v>2.3758070000000001E-4</v>
      </c>
      <c r="M21">
        <v>2.37581E-4</v>
      </c>
      <c r="N21">
        <v>0.99705299999999997</v>
      </c>
    </row>
    <row r="22" spans="1:14" x14ac:dyDescent="0.25">
      <c r="A22" s="22">
        <v>607</v>
      </c>
      <c r="B22" s="22">
        <v>0.143959</v>
      </c>
      <c r="C22" s="22">
        <v>22.4</v>
      </c>
      <c r="D22" s="24">
        <v>6.83</v>
      </c>
      <c r="E22" s="29">
        <f t="shared" si="0"/>
        <v>15.569999999999999</v>
      </c>
      <c r="F22" s="25">
        <v>1.5389999999999999</v>
      </c>
      <c r="G22" s="9"/>
      <c r="H22">
        <v>-1.5140999999999999E-4</v>
      </c>
      <c r="I22">
        <v>1.2405200000000001E-4</v>
      </c>
      <c r="J22">
        <f>-3.94573*10^-6</f>
        <v>-3.9457299999999997E-6</v>
      </c>
      <c r="K22">
        <f t="shared" si="1"/>
        <v>3.9457299999999997E-6</v>
      </c>
      <c r="L22">
        <f t="shared" si="2"/>
        <v>2.7546199999999997E-4</v>
      </c>
      <c r="M22">
        <v>2.7546200000000003E-4</v>
      </c>
      <c r="N22">
        <v>0.99704400000000004</v>
      </c>
    </row>
    <row r="23" spans="1:14" x14ac:dyDescent="0.25">
      <c r="A23" s="22">
        <v>684</v>
      </c>
      <c r="B23" s="22">
        <v>0.19255700000000001</v>
      </c>
      <c r="C23" s="22">
        <v>20.424199999999999</v>
      </c>
      <c r="D23" s="24">
        <v>12.97</v>
      </c>
      <c r="E23" s="29">
        <f t="shared" si="0"/>
        <v>7.4541999999999984</v>
      </c>
      <c r="F23" s="12">
        <v>1.546</v>
      </c>
      <c r="G23" s="25"/>
      <c r="H23">
        <v>-1.3198499999999999E-4</v>
      </c>
      <c r="I23">
        <v>5.1373499999999999E-5</v>
      </c>
      <c r="J23">
        <f>-1.27413*10^-6</f>
        <v>-1.27413E-6</v>
      </c>
      <c r="K23">
        <f t="shared" si="1"/>
        <v>1.27413E-6</v>
      </c>
      <c r="L23">
        <f t="shared" si="2"/>
        <v>1.8335849999999998E-4</v>
      </c>
      <c r="M23">
        <v>1.8335899999999999E-4</v>
      </c>
      <c r="N23">
        <v>0.99868699999999999</v>
      </c>
    </row>
    <row r="24" spans="1:14" x14ac:dyDescent="0.25">
      <c r="A24" s="22">
        <v>704</v>
      </c>
      <c r="B24" s="22">
        <v>0.18230299999999999</v>
      </c>
      <c r="C24" s="22">
        <v>19.7941</v>
      </c>
      <c r="D24" s="24">
        <v>12.59</v>
      </c>
      <c r="E24" s="29">
        <f t="shared" si="0"/>
        <v>7.2041000000000004</v>
      </c>
      <c r="F24" s="12">
        <v>1.5289999999999999</v>
      </c>
      <c r="G24" s="25"/>
      <c r="H24">
        <v>-1.2343099999999999E-4</v>
      </c>
      <c r="I24">
        <v>5.2954500000000003E-5</v>
      </c>
      <c r="J24">
        <f>-2.21459*10^-6</f>
        <v>-2.2145899999999997E-6</v>
      </c>
      <c r="K24">
        <f t="shared" si="1"/>
        <v>2.2145899999999997E-6</v>
      </c>
      <c r="L24">
        <f t="shared" si="2"/>
        <v>1.7638549999999999E-4</v>
      </c>
      <c r="M24">
        <v>1.76386E-4</v>
      </c>
      <c r="N24">
        <v>0.99616199999999999</v>
      </c>
    </row>
    <row r="25" spans="1:14" x14ac:dyDescent="0.25">
      <c r="A25" s="22">
        <v>754</v>
      </c>
      <c r="B25" s="22">
        <v>0.217751</v>
      </c>
      <c r="C25" s="22">
        <v>19.764700000000001</v>
      </c>
      <c r="D25" s="24">
        <v>14.15</v>
      </c>
      <c r="E25" s="29">
        <f t="shared" si="0"/>
        <v>5.6147000000000009</v>
      </c>
      <c r="F25" s="12">
        <v>1.538</v>
      </c>
      <c r="G25" s="25"/>
      <c r="H25">
        <v>-1.14269E-4</v>
      </c>
      <c r="I25">
        <v>2.9665299999999999E-5</v>
      </c>
      <c r="J25">
        <f>-9.73263*10^-7</f>
        <v>-9.7326299999999989E-7</v>
      </c>
      <c r="K25">
        <f t="shared" si="1"/>
        <v>9.7326299999999989E-7</v>
      </c>
      <c r="L25">
        <f t="shared" si="2"/>
        <v>1.4393429999999999E-4</v>
      </c>
      <c r="M25">
        <v>1.4393500000000001E-4</v>
      </c>
      <c r="N25">
        <v>0.99627699999999997</v>
      </c>
    </row>
    <row r="26" spans="1:14" x14ac:dyDescent="0.25">
      <c r="A26" s="22">
        <v>779</v>
      </c>
      <c r="B26" s="22">
        <v>0.164462</v>
      </c>
      <c r="C26" s="22">
        <v>21.802</v>
      </c>
      <c r="D26" s="24">
        <v>10.119999999999999</v>
      </c>
      <c r="E26" s="29">
        <f t="shared" si="0"/>
        <v>11.682</v>
      </c>
      <c r="F26" s="12">
        <v>1.5489999999999999</v>
      </c>
      <c r="G26" s="25"/>
      <c r="H26">
        <v>-1.5831800000000001E-4</v>
      </c>
      <c r="I26">
        <v>9.5225799999999999E-5</v>
      </c>
      <c r="J26">
        <f>-2.0759*10^-6</f>
        <v>-2.0758999999999999E-6</v>
      </c>
      <c r="K26">
        <f t="shared" si="1"/>
        <v>2.0758999999999999E-6</v>
      </c>
      <c r="L26">
        <f t="shared" si="2"/>
        <v>2.5354380000000001E-4</v>
      </c>
      <c r="M26">
        <v>2.5354400000000002E-4</v>
      </c>
      <c r="N26">
        <v>0.99699899999999997</v>
      </c>
    </row>
    <row r="27" spans="1:14" x14ac:dyDescent="0.25">
      <c r="A27" s="22">
        <v>805</v>
      </c>
      <c r="B27" s="22">
        <v>0.180531</v>
      </c>
      <c r="C27" s="22">
        <v>20.666699999999999</v>
      </c>
      <c r="D27" s="24">
        <v>9.1199999999999992</v>
      </c>
      <c r="E27" s="29">
        <f t="shared" si="0"/>
        <v>11.5467</v>
      </c>
      <c r="F27" s="12">
        <v>1.5589999999999999</v>
      </c>
      <c r="G27" s="25"/>
      <c r="H27">
        <v>-1.5318800000000001E-4</v>
      </c>
      <c r="I27">
        <v>9.1659599999999999E-5</v>
      </c>
      <c r="J27">
        <f>-1.0813*10^-6</f>
        <v>-1.0812999999999999E-6</v>
      </c>
      <c r="K27">
        <f t="shared" si="1"/>
        <v>1.0812999999999999E-6</v>
      </c>
      <c r="L27">
        <f t="shared" si="2"/>
        <v>2.4484760000000001E-4</v>
      </c>
      <c r="M27">
        <v>2.4484700000000002E-4</v>
      </c>
      <c r="N27">
        <v>0.99849399999999999</v>
      </c>
    </row>
    <row r="28" spans="1:14" x14ac:dyDescent="0.25">
      <c r="A28" s="22">
        <v>832</v>
      </c>
      <c r="B28" s="25">
        <v>0.17816399999999999</v>
      </c>
      <c r="C28" s="22">
        <v>19.476099999999999</v>
      </c>
      <c r="D28" s="24">
        <v>9.02</v>
      </c>
      <c r="E28" s="29">
        <f t="shared" si="0"/>
        <v>10.456099999999999</v>
      </c>
      <c r="F28" s="12">
        <v>1.5489999999999999</v>
      </c>
      <c r="G28" s="25"/>
      <c r="H28">
        <v>-1.29021E-4</v>
      </c>
      <c r="I28">
        <v>9.1524400000000001E-5</v>
      </c>
      <c r="J28">
        <f>-1.99521*10^-6</f>
        <v>-1.9952099999999998E-6</v>
      </c>
      <c r="K28">
        <f t="shared" si="1"/>
        <v>1.9952099999999998E-6</v>
      </c>
      <c r="L28">
        <f t="shared" si="2"/>
        <v>2.205454E-4</v>
      </c>
      <c r="M28">
        <v>2.20545E-4</v>
      </c>
      <c r="N28">
        <v>0.99856199999999995</v>
      </c>
    </row>
    <row r="29" spans="1:14" x14ac:dyDescent="0.25">
      <c r="A29" s="22">
        <v>926</v>
      </c>
      <c r="B29" s="25">
        <v>0.214918</v>
      </c>
      <c r="C29" s="22">
        <v>21.286899999999999</v>
      </c>
      <c r="D29" s="24">
        <v>14.37</v>
      </c>
      <c r="E29" s="29">
        <f t="shared" si="0"/>
        <v>6.9169</v>
      </c>
      <c r="F29" s="25">
        <v>1.5449999999999999</v>
      </c>
      <c r="G29" s="25"/>
      <c r="H29">
        <v>-1.4770000000000001E-4</v>
      </c>
      <c r="I29">
        <v>3.37592E-5</v>
      </c>
      <c r="J29">
        <f>-8.71056*10^-7</f>
        <v>-8.7105599999999986E-7</v>
      </c>
      <c r="K29">
        <f t="shared" si="1"/>
        <v>8.7105599999999986E-7</v>
      </c>
      <c r="L29">
        <f t="shared" si="2"/>
        <v>1.8145920000000001E-4</v>
      </c>
      <c r="M29">
        <v>1.81459E-4</v>
      </c>
      <c r="N29">
        <v>0.99784799999999996</v>
      </c>
    </row>
    <row r="30" spans="1:14" x14ac:dyDescent="0.25">
      <c r="A30" s="22">
        <v>951</v>
      </c>
      <c r="B30" s="25">
        <v>0.20088900000000001</v>
      </c>
      <c r="C30" s="22">
        <v>18.722200000000001</v>
      </c>
      <c r="D30" s="24">
        <v>10.94</v>
      </c>
      <c r="E30" s="29">
        <f t="shared" si="0"/>
        <v>7.7822000000000013</v>
      </c>
      <c r="F30" s="25">
        <v>1.5369999999999999</v>
      </c>
      <c r="G30" s="25"/>
      <c r="H30">
        <v>-1.3125499999999999E-4</v>
      </c>
      <c r="I30">
        <v>5.6232700000000001E-5</v>
      </c>
      <c r="J30">
        <f>-1.90118*10^-6</f>
        <v>-1.90118E-6</v>
      </c>
      <c r="K30">
        <f t="shared" si="1"/>
        <v>1.90118E-6</v>
      </c>
      <c r="L30">
        <f t="shared" si="2"/>
        <v>1.8748769999999998E-4</v>
      </c>
      <c r="M30">
        <v>1.87488E-4</v>
      </c>
      <c r="N30">
        <v>0.99837399999999998</v>
      </c>
    </row>
    <row r="31" spans="1:14" x14ac:dyDescent="0.25">
      <c r="A31" s="22">
        <v>970</v>
      </c>
      <c r="B31" s="25">
        <v>0.17552599999999999</v>
      </c>
      <c r="C31" s="22">
        <v>21.218800000000002</v>
      </c>
      <c r="D31" s="24">
        <v>9.94</v>
      </c>
      <c r="E31" s="29">
        <f t="shared" si="0"/>
        <v>11.278800000000002</v>
      </c>
      <c r="F31" s="25">
        <v>1.55</v>
      </c>
      <c r="G31" s="25"/>
      <c r="H31">
        <v>-1.6371199999999999E-4</v>
      </c>
      <c r="I31">
        <v>8.7613499999999997E-5</v>
      </c>
      <c r="J31">
        <f>-1.8223*10^-6</f>
        <v>-1.8222999999999999E-6</v>
      </c>
      <c r="K31">
        <f t="shared" si="1"/>
        <v>1.8222999999999999E-6</v>
      </c>
      <c r="L31">
        <f t="shared" si="2"/>
        <v>2.513255E-4</v>
      </c>
      <c r="M31">
        <v>2.5132600000000001E-4</v>
      </c>
      <c r="N31">
        <v>0.99731599999999998</v>
      </c>
    </row>
    <row r="32" spans="1:14" x14ac:dyDescent="0.25">
      <c r="A32" s="22">
        <v>1001</v>
      </c>
      <c r="B32" s="22">
        <v>0.18484500000000001</v>
      </c>
      <c r="C32" s="22">
        <v>21.812000000000001</v>
      </c>
      <c r="D32" s="24">
        <v>12.5</v>
      </c>
      <c r="E32" s="29">
        <f t="shared" si="0"/>
        <v>9.3120000000000012</v>
      </c>
      <c r="F32" s="30">
        <v>1.5529999999999999</v>
      </c>
      <c r="G32" s="25"/>
      <c r="H32">
        <v>-1.6342099999999999E-4</v>
      </c>
      <c r="I32">
        <v>6.3967700000000001E-5</v>
      </c>
      <c r="J32">
        <f>-1.13851*10^-6</f>
        <v>-1.1385099999999998E-6</v>
      </c>
      <c r="K32">
        <f t="shared" si="1"/>
        <v>1.1385099999999998E-6</v>
      </c>
      <c r="L32">
        <f t="shared" si="2"/>
        <v>2.2738869999999999E-4</v>
      </c>
      <c r="M32">
        <v>2.2738899999999999E-4</v>
      </c>
      <c r="N32">
        <v>0.99877499999999997</v>
      </c>
    </row>
    <row r="33" spans="1:14" x14ac:dyDescent="0.25">
      <c r="A33" s="43" t="s">
        <v>6</v>
      </c>
      <c r="B33" s="44">
        <f>AVERAGE(B3:B12,B14:B32)</f>
        <v>0.1792561724137931</v>
      </c>
      <c r="C33" s="44">
        <f t="shared" ref="C33:N33" si="3">AVERAGE(C3:C12,C14:C32)</f>
        <v>20.656158620689656</v>
      </c>
      <c r="D33" s="44">
        <f t="shared" si="3"/>
        <v>11.61</v>
      </c>
      <c r="E33" s="44">
        <f t="shared" si="3"/>
        <v>9.0461586206896527</v>
      </c>
      <c r="F33" s="44">
        <f t="shared" si="3"/>
        <v>1.5435517241379304</v>
      </c>
      <c r="G33" s="44" t="e">
        <f t="shared" si="3"/>
        <v>#DIV/0!</v>
      </c>
      <c r="H33" s="44">
        <f t="shared" si="3"/>
        <v>-1.3438659655172413E-4</v>
      </c>
      <c r="I33" s="44">
        <f t="shared" si="3"/>
        <v>7.1591448275862082E-5</v>
      </c>
      <c r="J33" s="44">
        <f t="shared" si="3"/>
        <v>-1.9209941034482755E-6</v>
      </c>
      <c r="K33" s="44">
        <f t="shared" si="3"/>
        <v>1.9209941034482755E-6</v>
      </c>
      <c r="L33" s="44">
        <f t="shared" si="3"/>
        <v>2.0597804482758622E-4</v>
      </c>
      <c r="M33" s="44">
        <f>-AVERAGE(M3:M12,M14:M32)</f>
        <v>-2.0597806896551724E-4</v>
      </c>
      <c r="N33" s="44">
        <f t="shared" si="3"/>
        <v>0.99761131034482742</v>
      </c>
    </row>
    <row r="34" spans="1:14" x14ac:dyDescent="0.25">
      <c r="A34" s="45" t="s">
        <v>7</v>
      </c>
      <c r="B34" s="12">
        <f>_xlfn.STDEV.P(B3:B12,B14:B32)</f>
        <v>1.5963456772976437E-2</v>
      </c>
      <c r="C34" s="12">
        <f t="shared" ref="C34:N34" si="4">_xlfn.STDEV.P(C3:C12,C14:C32)</f>
        <v>1.4399214575125248</v>
      </c>
      <c r="D34" s="12">
        <f t="shared" si="4"/>
        <v>2.205330532736693</v>
      </c>
      <c r="E34" s="12">
        <f t="shared" si="4"/>
        <v>2.247967743589494</v>
      </c>
      <c r="F34" s="12">
        <f t="shared" si="4"/>
        <v>7.5273579506360388E-3</v>
      </c>
      <c r="G34" s="12" t="e">
        <f t="shared" si="4"/>
        <v>#DIV/0!</v>
      </c>
      <c r="H34" s="12">
        <f t="shared" si="4"/>
        <v>2.2899289786283656E-5</v>
      </c>
      <c r="I34" s="12">
        <f t="shared" si="4"/>
        <v>2.3218498068916734E-5</v>
      </c>
      <c r="J34" s="12">
        <f t="shared" si="4"/>
        <v>8.0127735861833044E-7</v>
      </c>
      <c r="K34" s="12">
        <f t="shared" si="4"/>
        <v>8.0127735861833044E-7</v>
      </c>
      <c r="L34" s="12">
        <f t="shared" si="4"/>
        <v>3.3790587131244068E-5</v>
      </c>
      <c r="M34" s="12">
        <f t="shared" si="4"/>
        <v>3.3790522062208859E-5</v>
      </c>
      <c r="N34" s="12">
        <f t="shared" si="4"/>
        <v>7.4372446248586424E-4</v>
      </c>
    </row>
    <row r="35" spans="1:14" x14ac:dyDescent="0.25">
      <c r="A35" s="45" t="s">
        <v>8</v>
      </c>
      <c r="B35" s="12">
        <f>B33+B34</f>
        <v>0.19521962918676955</v>
      </c>
      <c r="C35" s="42"/>
      <c r="D35" s="42"/>
      <c r="E35" s="42"/>
      <c r="F35" s="42"/>
      <c r="G35" s="42"/>
    </row>
    <row r="36" spans="1:14" ht="15.75" thickBot="1" x14ac:dyDescent="0.3">
      <c r="A36" s="46" t="s">
        <v>9</v>
      </c>
      <c r="B36" s="47">
        <f>B33-B34</f>
        <v>0.16329271564081665</v>
      </c>
      <c r="C36" s="42"/>
      <c r="D36" s="42"/>
      <c r="E36" s="42"/>
      <c r="F36" s="42"/>
      <c r="G36" s="42"/>
    </row>
  </sheetData>
  <mergeCells count="1">
    <mergeCell ref="A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2:N22"/>
  <sheetViews>
    <sheetView workbookViewId="0">
      <selection activeCell="H19" activeCellId="2" sqref="B19:C20 E19:F20 H19:N20"/>
    </sheetView>
  </sheetViews>
  <sheetFormatPr defaultRowHeight="15" x14ac:dyDescent="0.25"/>
  <cols>
    <col min="2" max="2" width="9" bestFit="1" customWidth="1"/>
    <col min="3" max="3" width="15.28515625" customWidth="1"/>
    <col min="7" max="7" width="9.85546875" bestFit="1" customWidth="1"/>
    <col min="8" max="8" width="12" bestFit="1" customWidth="1"/>
    <col min="11" max="11" width="12" bestFit="1" customWidth="1"/>
  </cols>
  <sheetData>
    <row r="2" spans="1:14" ht="15.75" thickBot="1" x14ac:dyDescent="0.3"/>
    <row r="3" spans="1:14" x14ac:dyDescent="0.25">
      <c r="A3" s="212" t="s">
        <v>31</v>
      </c>
      <c r="B3" s="213"/>
      <c r="C3" s="213"/>
      <c r="D3" s="213"/>
      <c r="E3" s="213"/>
      <c r="F3" s="214"/>
      <c r="G3" s="42"/>
    </row>
    <row r="4" spans="1:14" ht="45" x14ac:dyDescent="0.25">
      <c r="A4" s="1" t="s">
        <v>1</v>
      </c>
      <c r="B4" s="2" t="s">
        <v>2</v>
      </c>
      <c r="C4" s="2" t="s">
        <v>19</v>
      </c>
      <c r="D4" s="2" t="s">
        <v>3</v>
      </c>
      <c r="E4" s="2" t="s">
        <v>44</v>
      </c>
      <c r="F4" s="3" t="s">
        <v>4</v>
      </c>
      <c r="G4" s="41" t="s">
        <v>5</v>
      </c>
      <c r="H4" s="3" t="s">
        <v>37</v>
      </c>
      <c r="I4" s="50" t="s">
        <v>39</v>
      </c>
      <c r="J4" s="50" t="s">
        <v>41</v>
      </c>
      <c r="K4" s="50" t="s">
        <v>38</v>
      </c>
      <c r="L4" s="3" t="s">
        <v>42</v>
      </c>
      <c r="M4" s="3" t="s">
        <v>40</v>
      </c>
      <c r="N4" s="50" t="s">
        <v>43</v>
      </c>
    </row>
    <row r="5" spans="1:14" x14ac:dyDescent="0.25">
      <c r="A5" s="22">
        <v>103</v>
      </c>
      <c r="B5" s="22">
        <v>0.159193</v>
      </c>
      <c r="C5" s="22">
        <v>15.2576</v>
      </c>
      <c r="D5" s="24">
        <v>7.72</v>
      </c>
      <c r="E5" s="29">
        <f t="shared" ref="E5:E18" si="0">C5-D5</f>
        <v>7.5376000000000003</v>
      </c>
      <c r="F5" s="12">
        <v>1.4790000000000001</v>
      </c>
      <c r="G5" s="25"/>
      <c r="H5">
        <v>-7.5829199999999996E-5</v>
      </c>
      <c r="I5">
        <v>9.3128300000000001E-5</v>
      </c>
      <c r="J5">
        <f>-8.57293*10^-6</f>
        <v>-8.5729299999999992E-6</v>
      </c>
      <c r="K5">
        <f t="shared" ref="K5:K18" si="1">-J5</f>
        <v>8.5729299999999992E-6</v>
      </c>
      <c r="L5">
        <f t="shared" ref="L5:L18" si="2">I5-H5</f>
        <v>1.689575E-4</v>
      </c>
      <c r="M5">
        <v>1.6895699999999999E-4</v>
      </c>
      <c r="N5">
        <v>0.99946000000000002</v>
      </c>
    </row>
    <row r="6" spans="1:14" x14ac:dyDescent="0.25">
      <c r="A6" s="22">
        <v>129</v>
      </c>
      <c r="B6" s="22">
        <v>0.13967499999999999</v>
      </c>
      <c r="C6" s="23">
        <v>13.3482</v>
      </c>
      <c r="D6" s="24">
        <v>6.24</v>
      </c>
      <c r="E6" s="29">
        <f t="shared" si="0"/>
        <v>7.1082000000000001</v>
      </c>
      <c r="F6" s="12">
        <v>1.4279999999999999</v>
      </c>
      <c r="G6" s="25"/>
      <c r="H6">
        <v>-1.14879E-4</v>
      </c>
      <c r="I6">
        <v>4.6514500000000003E-5</v>
      </c>
      <c r="J6">
        <f>-6.68761*10^-6</f>
        <v>-6.68761E-6</v>
      </c>
      <c r="K6">
        <f t="shared" si="1"/>
        <v>6.68761E-6</v>
      </c>
      <c r="L6">
        <f t="shared" si="2"/>
        <v>1.613935E-4</v>
      </c>
      <c r="M6">
        <v>1.6139299999999999E-4</v>
      </c>
      <c r="N6">
        <v>0.999166</v>
      </c>
    </row>
    <row r="7" spans="1:14" x14ac:dyDescent="0.25">
      <c r="A7" s="22">
        <v>217</v>
      </c>
      <c r="B7" s="22">
        <v>0.14382700000000001</v>
      </c>
      <c r="C7" s="22">
        <v>13.298299999999999</v>
      </c>
      <c r="D7" s="24">
        <v>5.18</v>
      </c>
      <c r="E7" s="29">
        <f t="shared" si="0"/>
        <v>8.1182999999999996</v>
      </c>
      <c r="F7" s="12">
        <v>1.4510000000000001</v>
      </c>
      <c r="G7" s="25"/>
      <c r="H7">
        <v>-3.3769700000000003E-5</v>
      </c>
      <c r="I7">
        <v>1.3275599999999999E-4</v>
      </c>
      <c r="J7">
        <v>-1.59802E-5</v>
      </c>
      <c r="K7">
        <f t="shared" si="1"/>
        <v>1.59802E-5</v>
      </c>
      <c r="L7">
        <f t="shared" si="2"/>
        <v>1.6652569999999999E-4</v>
      </c>
      <c r="M7">
        <v>1.6652600000000001E-4</v>
      </c>
      <c r="N7">
        <v>0.99919199999999997</v>
      </c>
    </row>
    <row r="8" spans="1:14" x14ac:dyDescent="0.25">
      <c r="A8" s="22">
        <v>468</v>
      </c>
      <c r="B8" s="22">
        <v>0.145344</v>
      </c>
      <c r="C8" s="22">
        <v>12.7395</v>
      </c>
      <c r="D8" s="24">
        <v>4.3499999999999996</v>
      </c>
      <c r="E8" s="29">
        <f t="shared" si="0"/>
        <v>8.3895</v>
      </c>
      <c r="F8" s="30">
        <v>1.4339999999999999</v>
      </c>
      <c r="G8" s="25"/>
      <c r="H8">
        <v>-6.6874999999999999E-5</v>
      </c>
      <c r="I8">
        <v>1.0129899999999999E-4</v>
      </c>
      <c r="J8">
        <v>-1.39445E-5</v>
      </c>
      <c r="K8">
        <f t="shared" si="1"/>
        <v>1.39445E-5</v>
      </c>
      <c r="L8">
        <f t="shared" si="2"/>
        <v>1.6817399999999999E-4</v>
      </c>
      <c r="M8">
        <v>1.6817399999999999E-4</v>
      </c>
      <c r="N8">
        <v>0.99927299999999997</v>
      </c>
    </row>
    <row r="9" spans="1:14" x14ac:dyDescent="0.25">
      <c r="A9" s="22">
        <v>503</v>
      </c>
      <c r="B9" s="22">
        <v>0.15373600000000001</v>
      </c>
      <c r="C9" s="22">
        <v>12.6875</v>
      </c>
      <c r="D9" s="24">
        <v>4.5199999999999996</v>
      </c>
      <c r="E9" s="29">
        <f t="shared" si="0"/>
        <v>8.1675000000000004</v>
      </c>
      <c r="F9" s="30">
        <v>1.4330000000000001</v>
      </c>
      <c r="G9" s="25"/>
      <c r="H9">
        <v>-7.9895399999999994E-5</v>
      </c>
      <c r="I9">
        <v>8.6854099999999999E-5</v>
      </c>
      <c r="J9">
        <v>-1.20445E-5</v>
      </c>
      <c r="K9">
        <f t="shared" si="1"/>
        <v>1.20445E-5</v>
      </c>
      <c r="L9">
        <f t="shared" si="2"/>
        <v>1.6674950000000001E-4</v>
      </c>
      <c r="M9">
        <v>1.6674999999999999E-4</v>
      </c>
      <c r="N9">
        <v>0.99945799999999996</v>
      </c>
    </row>
    <row r="10" spans="1:14" x14ac:dyDescent="0.25">
      <c r="A10" s="22">
        <v>854</v>
      </c>
      <c r="B10" s="22">
        <v>0.158861</v>
      </c>
      <c r="C10" s="22">
        <v>15.3058</v>
      </c>
      <c r="D10" s="24">
        <v>6.33</v>
      </c>
      <c r="E10" s="29">
        <f t="shared" si="0"/>
        <v>8.9757999999999996</v>
      </c>
      <c r="F10" s="25">
        <v>1.4490000000000001</v>
      </c>
      <c r="G10" s="25"/>
      <c r="H10">
        <v>-1.4575300000000001E-4</v>
      </c>
      <c r="I10">
        <v>5.3725099999999998E-5</v>
      </c>
      <c r="J10">
        <f>-6.57607*10^-6</f>
        <v>-6.5760699999999992E-6</v>
      </c>
      <c r="K10">
        <f t="shared" si="1"/>
        <v>6.5760699999999992E-6</v>
      </c>
      <c r="L10">
        <f t="shared" si="2"/>
        <v>1.9947810000000001E-4</v>
      </c>
      <c r="M10">
        <v>1.99478E-4</v>
      </c>
      <c r="N10">
        <v>0.99880999999999998</v>
      </c>
    </row>
    <row r="11" spans="1:14" x14ac:dyDescent="0.25">
      <c r="A11" s="22">
        <v>899</v>
      </c>
      <c r="B11" s="22">
        <v>0.146758</v>
      </c>
      <c r="C11" s="22">
        <v>14.958</v>
      </c>
      <c r="D11" s="24">
        <v>6.18</v>
      </c>
      <c r="E11" s="29">
        <f t="shared" si="0"/>
        <v>8.7780000000000005</v>
      </c>
      <c r="F11" s="25">
        <v>1.4470000000000001</v>
      </c>
      <c r="G11" s="25"/>
      <c r="H11">
        <v>-1.32547E-4</v>
      </c>
      <c r="I11">
        <v>5.9819599999999999E-5</v>
      </c>
      <c r="J11">
        <f>-7.44351*10^-6</f>
        <v>-7.4435099999999998E-6</v>
      </c>
      <c r="K11">
        <f t="shared" si="1"/>
        <v>7.4435099999999998E-6</v>
      </c>
      <c r="L11">
        <f t="shared" si="2"/>
        <v>1.9236660000000001E-4</v>
      </c>
      <c r="M11">
        <v>1.9236599999999999E-4</v>
      </c>
      <c r="N11">
        <v>0.99838499999999997</v>
      </c>
    </row>
    <row r="12" spans="1:14" x14ac:dyDescent="0.25">
      <c r="A12" s="22">
        <v>956</v>
      </c>
      <c r="B12" s="22">
        <v>0.15764800000000001</v>
      </c>
      <c r="C12" s="22">
        <v>14.251200000000001</v>
      </c>
      <c r="D12" s="24">
        <v>6.8</v>
      </c>
      <c r="E12" s="29">
        <f t="shared" si="0"/>
        <v>7.4512000000000009</v>
      </c>
      <c r="F12" s="25">
        <v>1.4390000000000001</v>
      </c>
      <c r="G12" s="25"/>
      <c r="H12">
        <v>-1.2752400000000001E-4</v>
      </c>
      <c r="I12">
        <v>4.3955100000000002E-5</v>
      </c>
      <c r="J12">
        <f>-5.8269*10^-6</f>
        <v>-5.8269000000000001E-6</v>
      </c>
      <c r="K12">
        <f t="shared" si="1"/>
        <v>5.8269000000000001E-6</v>
      </c>
      <c r="L12">
        <f t="shared" si="2"/>
        <v>1.7147910000000002E-4</v>
      </c>
      <c r="M12">
        <v>1.7147899999999999E-4</v>
      </c>
      <c r="N12">
        <v>0.99898500000000001</v>
      </c>
    </row>
    <row r="13" spans="1:14" x14ac:dyDescent="0.25">
      <c r="A13" s="22">
        <v>1082</v>
      </c>
      <c r="B13" s="25">
        <v>0.182976</v>
      </c>
      <c r="C13" s="22">
        <v>11.731400000000001</v>
      </c>
      <c r="D13" s="24">
        <v>4.7699999999999996</v>
      </c>
      <c r="E13" s="29">
        <f t="shared" si="0"/>
        <v>6.9614000000000011</v>
      </c>
      <c r="F13" s="25">
        <v>1.4379999999999999</v>
      </c>
      <c r="G13" s="25"/>
      <c r="H13">
        <v>-5.7411699999999998E-5</v>
      </c>
      <c r="I13">
        <v>8.8231899999999998E-5</v>
      </c>
      <c r="J13">
        <v>-1.1786200000000001E-5</v>
      </c>
      <c r="K13">
        <f t="shared" si="1"/>
        <v>1.1786200000000001E-5</v>
      </c>
      <c r="L13">
        <f t="shared" si="2"/>
        <v>1.456436E-4</v>
      </c>
      <c r="M13">
        <v>1.45644E-4</v>
      </c>
      <c r="N13">
        <v>0.99930600000000003</v>
      </c>
    </row>
    <row r="14" spans="1:14" x14ac:dyDescent="0.25">
      <c r="A14" s="22">
        <v>1183</v>
      </c>
      <c r="B14" s="22">
        <v>0.16836000000000001</v>
      </c>
      <c r="C14" s="22">
        <v>12.0387</v>
      </c>
      <c r="D14" s="24">
        <v>5.68</v>
      </c>
      <c r="E14" s="29">
        <f t="shared" si="0"/>
        <v>6.3587000000000007</v>
      </c>
      <c r="F14" s="25">
        <v>1.4350000000000001</v>
      </c>
      <c r="G14" s="25"/>
      <c r="H14">
        <v>-5.4327299999999997E-5</v>
      </c>
      <c r="I14">
        <v>8.6674699999999999E-5</v>
      </c>
      <c r="J14">
        <v>-1.1843E-5</v>
      </c>
      <c r="K14">
        <f t="shared" si="1"/>
        <v>1.1843E-5</v>
      </c>
      <c r="L14">
        <f t="shared" si="2"/>
        <v>1.4100199999999999E-4</v>
      </c>
      <c r="M14">
        <v>1.4100199999999999E-4</v>
      </c>
      <c r="N14">
        <v>0.99926099999999995</v>
      </c>
    </row>
    <row r="15" spans="1:14" x14ac:dyDescent="0.25">
      <c r="A15" s="22">
        <v>1201</v>
      </c>
      <c r="B15" s="22">
        <v>0.19404399999999999</v>
      </c>
      <c r="C15" s="22">
        <v>14.107699999999999</v>
      </c>
      <c r="D15" s="24">
        <v>5.77</v>
      </c>
      <c r="E15" s="29">
        <f t="shared" si="0"/>
        <v>8.3376999999999999</v>
      </c>
      <c r="F15" s="25">
        <v>1.45</v>
      </c>
      <c r="G15" s="25"/>
      <c r="H15">
        <v>-1.2893400000000001E-4</v>
      </c>
      <c r="I15">
        <v>5.5984499999999999E-5</v>
      </c>
      <c r="J15">
        <f>-6.79581*10^-6</f>
        <v>-6.7958100000000001E-6</v>
      </c>
      <c r="K15">
        <f t="shared" si="1"/>
        <v>6.7958100000000001E-6</v>
      </c>
      <c r="L15">
        <f t="shared" si="2"/>
        <v>1.8491850000000002E-4</v>
      </c>
      <c r="M15">
        <v>1.84919E-4</v>
      </c>
      <c r="N15">
        <v>0.99853899999999995</v>
      </c>
    </row>
    <row r="16" spans="1:14" x14ac:dyDescent="0.25">
      <c r="A16" s="22">
        <v>1244</v>
      </c>
      <c r="B16" s="22">
        <v>0.124103</v>
      </c>
      <c r="C16" s="22">
        <v>12.664899999999999</v>
      </c>
      <c r="D16" s="24">
        <v>5.18</v>
      </c>
      <c r="E16" s="29">
        <f t="shared" si="0"/>
        <v>7.4848999999999997</v>
      </c>
      <c r="F16" s="25">
        <v>1.427</v>
      </c>
      <c r="G16" s="25"/>
      <c r="H16">
        <v>-4.9799999999999998E-5</v>
      </c>
      <c r="I16">
        <v>1.10505E-4</v>
      </c>
      <c r="J16">
        <v>-1.6000700000000001E-5</v>
      </c>
      <c r="K16">
        <f t="shared" si="1"/>
        <v>1.6000700000000001E-5</v>
      </c>
      <c r="L16">
        <f t="shared" si="2"/>
        <v>1.6030499999999999E-4</v>
      </c>
      <c r="M16">
        <v>1.6030499999999999E-4</v>
      </c>
      <c r="N16">
        <v>0.99864900000000001</v>
      </c>
    </row>
    <row r="17" spans="1:14" x14ac:dyDescent="0.25">
      <c r="A17" s="22">
        <v>1276</v>
      </c>
      <c r="B17" s="22">
        <v>0.151975</v>
      </c>
      <c r="C17" s="22">
        <v>12.814399999999999</v>
      </c>
      <c r="D17" s="24">
        <v>5.63</v>
      </c>
      <c r="E17" s="29">
        <f t="shared" si="0"/>
        <v>7.1843999999999992</v>
      </c>
      <c r="F17" s="49">
        <v>1.4319999999999999</v>
      </c>
      <c r="G17" s="25"/>
      <c r="H17">
        <v>-8.3865199999999998E-5</v>
      </c>
      <c r="I17">
        <v>7.4017900000000002E-5</v>
      </c>
      <c r="J17">
        <v>-1.0339900000000001E-5</v>
      </c>
      <c r="K17">
        <f t="shared" si="1"/>
        <v>1.0339900000000001E-5</v>
      </c>
      <c r="L17">
        <f t="shared" si="2"/>
        <v>1.578831E-4</v>
      </c>
      <c r="M17">
        <v>1.5788299999999999E-4</v>
      </c>
      <c r="N17">
        <v>0.99908699999999995</v>
      </c>
    </row>
    <row r="18" spans="1:14" x14ac:dyDescent="0.25">
      <c r="A18" s="22">
        <v>1366</v>
      </c>
      <c r="B18" s="22">
        <v>0.19350400000000001</v>
      </c>
      <c r="C18" s="22">
        <v>14.255800000000001</v>
      </c>
      <c r="D18" s="24">
        <v>6.81</v>
      </c>
      <c r="E18" s="29">
        <f t="shared" si="0"/>
        <v>7.4458000000000011</v>
      </c>
      <c r="F18" s="49">
        <v>1.4430000000000001</v>
      </c>
      <c r="G18" s="25"/>
      <c r="H18">
        <v>-1.33996E-4</v>
      </c>
      <c r="I18">
        <v>4.1090400000000002E-5</v>
      </c>
      <c r="J18">
        <f>-5.27998*10^-6</f>
        <v>-5.2799799999999997E-6</v>
      </c>
      <c r="K18">
        <f t="shared" si="1"/>
        <v>5.2799799999999997E-6</v>
      </c>
      <c r="L18">
        <f t="shared" si="2"/>
        <v>1.750864E-4</v>
      </c>
      <c r="M18">
        <v>1.75086E-4</v>
      </c>
      <c r="N18">
        <v>0.99841199999999997</v>
      </c>
    </row>
    <row r="19" spans="1:14" x14ac:dyDescent="0.25">
      <c r="A19" s="43" t="s">
        <v>6</v>
      </c>
      <c r="B19" s="44">
        <f>AVERAGE(B5:B18)</f>
        <v>0.15857171428571432</v>
      </c>
      <c r="C19" s="44">
        <f t="shared" ref="C19:N19" si="3">AVERAGE(C5:C18)</f>
        <v>13.532785714285712</v>
      </c>
      <c r="D19" s="44">
        <f t="shared" si="3"/>
        <v>5.7971428571428572</v>
      </c>
      <c r="E19" s="44">
        <f t="shared" si="3"/>
        <v>7.7356428571428566</v>
      </c>
      <c r="F19" s="44">
        <f t="shared" si="3"/>
        <v>1.4417857142857144</v>
      </c>
      <c r="G19" s="44" t="e">
        <f t="shared" si="3"/>
        <v>#DIV/0!</v>
      </c>
      <c r="H19" s="44">
        <f t="shared" si="3"/>
        <v>-9.1814749999999997E-5</v>
      </c>
      <c r="I19" s="44">
        <f t="shared" si="3"/>
        <v>7.6754007142857151E-5</v>
      </c>
      <c r="J19" s="44">
        <f t="shared" si="3"/>
        <v>-9.9372721428571436E-6</v>
      </c>
      <c r="K19" s="44">
        <f>AVERAGE(K5:K18)</f>
        <v>9.9372721428571436E-6</v>
      </c>
      <c r="L19" s="44">
        <f t="shared" si="3"/>
        <v>1.6856875714285716E-4</v>
      </c>
      <c r="M19" s="44">
        <f>-AVERAGE(M5:M18)</f>
        <v>-1.6856871428571431E-4</v>
      </c>
      <c r="N19" s="44">
        <f t="shared" si="3"/>
        <v>0.99899878571428569</v>
      </c>
    </row>
    <row r="20" spans="1:14" x14ac:dyDescent="0.25">
      <c r="A20" s="45" t="s">
        <v>7</v>
      </c>
      <c r="B20" s="12">
        <f t="shared" ref="B20:N20" si="4">_xlfn.STDEV.P(B5:B19)</f>
        <v>1.882422549952956E-2</v>
      </c>
      <c r="C20" s="12">
        <f t="shared" si="4"/>
        <v>1.086236523572494</v>
      </c>
      <c r="D20" s="12">
        <f t="shared" si="4"/>
        <v>0.89219152332092422</v>
      </c>
      <c r="E20" s="12">
        <f t="shared" si="4"/>
        <v>0.6931769199026423</v>
      </c>
      <c r="F20" s="12">
        <f t="shared" si="4"/>
        <v>1.245888476244203E-2</v>
      </c>
      <c r="G20" s="12" t="e">
        <f t="shared" si="4"/>
        <v>#DIV/0!</v>
      </c>
      <c r="H20" s="12">
        <f t="shared" si="4"/>
        <v>3.4965505603127401E-5</v>
      </c>
      <c r="I20" s="12">
        <f t="shared" si="4"/>
        <v>2.5814922436256753E-5</v>
      </c>
      <c r="J20" s="12">
        <f t="shared" si="4"/>
        <v>3.4581829287612468E-6</v>
      </c>
      <c r="K20" s="12">
        <f t="shared" si="4"/>
        <v>3.4581829287612468E-6</v>
      </c>
      <c r="L20" s="12">
        <f t="shared" si="4"/>
        <v>1.498271356013164E-5</v>
      </c>
      <c r="M20" s="12">
        <f t="shared" si="4"/>
        <v>8.5421071418016677E-5</v>
      </c>
      <c r="N20" s="12">
        <f t="shared" si="4"/>
        <v>3.4886810852077137E-4</v>
      </c>
    </row>
    <row r="21" spans="1:14" x14ac:dyDescent="0.25">
      <c r="A21" s="45" t="s">
        <v>8</v>
      </c>
      <c r="B21" s="12">
        <f>B19+B20</f>
        <v>0.17739593978524387</v>
      </c>
      <c r="C21" s="42"/>
      <c r="D21" s="42"/>
      <c r="E21" s="42"/>
      <c r="F21" s="42"/>
      <c r="G21" s="42"/>
    </row>
    <row r="22" spans="1:14" ht="15.75" thickBot="1" x14ac:dyDescent="0.3">
      <c r="A22" s="46" t="s">
        <v>9</v>
      </c>
      <c r="B22" s="47">
        <f>B19-B20</f>
        <v>0.13974748878618476</v>
      </c>
      <c r="C22" s="42"/>
      <c r="D22" s="42"/>
      <c r="E22" s="42"/>
      <c r="F22" s="42"/>
      <c r="G22" s="42"/>
    </row>
  </sheetData>
  <mergeCells count="1">
    <mergeCell ref="A3:F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N26"/>
  <sheetViews>
    <sheetView workbookViewId="0">
      <selection activeCell="O37" sqref="O37"/>
    </sheetView>
  </sheetViews>
  <sheetFormatPr defaultRowHeight="15" x14ac:dyDescent="0.25"/>
  <cols>
    <col min="5" max="5" width="11.5703125" customWidth="1"/>
    <col min="8" max="9" width="12" bestFit="1" customWidth="1"/>
    <col min="11" max="11" width="12" bestFit="1" customWidth="1"/>
  </cols>
  <sheetData>
    <row r="1" spans="1:14" x14ac:dyDescent="0.25">
      <c r="A1" s="212" t="s">
        <v>28</v>
      </c>
      <c r="B1" s="213"/>
      <c r="C1" s="213"/>
      <c r="D1" s="213"/>
      <c r="E1" s="213"/>
      <c r="F1" s="214"/>
      <c r="G1" s="42"/>
    </row>
    <row r="2" spans="1:14" ht="45" x14ac:dyDescent="0.25">
      <c r="A2" s="1" t="s">
        <v>1</v>
      </c>
      <c r="B2" s="2" t="s">
        <v>2</v>
      </c>
      <c r="C2" s="2" t="s">
        <v>19</v>
      </c>
      <c r="D2" s="2" t="s">
        <v>20</v>
      </c>
      <c r="E2" s="2" t="s">
        <v>44</v>
      </c>
      <c r="F2" s="3" t="s">
        <v>4</v>
      </c>
      <c r="G2" s="41" t="s">
        <v>5</v>
      </c>
      <c r="H2" s="3" t="s">
        <v>37</v>
      </c>
      <c r="I2" s="50" t="s">
        <v>39</v>
      </c>
      <c r="J2" s="50" t="s">
        <v>41</v>
      </c>
      <c r="K2" s="50" t="s">
        <v>38</v>
      </c>
      <c r="L2" s="3" t="s">
        <v>42</v>
      </c>
      <c r="M2" s="3" t="s">
        <v>40</v>
      </c>
      <c r="N2" s="50" t="s">
        <v>43</v>
      </c>
    </row>
    <row r="3" spans="1:14" x14ac:dyDescent="0.25">
      <c r="A3" s="22">
        <v>14</v>
      </c>
      <c r="B3" s="29">
        <v>0.13234599999999999</v>
      </c>
      <c r="C3" s="29">
        <v>16.8889</v>
      </c>
      <c r="D3" s="29">
        <v>9.08</v>
      </c>
      <c r="E3" s="29">
        <f t="shared" ref="E3:E22" si="0">C3-D3</f>
        <v>7.8088999999999995</v>
      </c>
      <c r="F3" s="12">
        <v>1.492</v>
      </c>
      <c r="G3" s="25"/>
      <c r="H3">
        <v>-3.6028300000000002E-5</v>
      </c>
      <c r="I3">
        <v>1.4051299999999999E-4</v>
      </c>
      <c r="J3">
        <v>-1.1094899999999999E-5</v>
      </c>
      <c r="K3">
        <f t="shared" ref="K3:K22" si="1">-J3</f>
        <v>1.1094899999999999E-5</v>
      </c>
      <c r="L3">
        <f t="shared" ref="L3:L22" si="2">I3-H3</f>
        <v>1.765413E-4</v>
      </c>
      <c r="M3">
        <v>1.76541E-4</v>
      </c>
      <c r="N3">
        <v>0.998996</v>
      </c>
    </row>
    <row r="4" spans="1:14" x14ac:dyDescent="0.25">
      <c r="A4" s="22">
        <v>38</v>
      </c>
      <c r="B4" s="42">
        <v>0.14521000000000001</v>
      </c>
      <c r="C4" s="29">
        <v>21.821400000000001</v>
      </c>
      <c r="D4" s="29">
        <v>11.96</v>
      </c>
      <c r="E4" s="29">
        <f t="shared" si="0"/>
        <v>9.8613999999999997</v>
      </c>
      <c r="F4" s="12">
        <v>1.5129999999999999</v>
      </c>
      <c r="G4" s="25"/>
      <c r="H4">
        <v>-1.5939599999999999E-4</v>
      </c>
      <c r="I4">
        <v>7.4144600000000002E-5</v>
      </c>
      <c r="J4">
        <f>-4.29006*10^-6</f>
        <v>-4.2900600000000004E-6</v>
      </c>
      <c r="K4">
        <f t="shared" si="1"/>
        <v>4.2900600000000004E-6</v>
      </c>
      <c r="L4">
        <f t="shared" si="2"/>
        <v>2.335406E-4</v>
      </c>
      <c r="M4">
        <v>2.3353999999999999E-4</v>
      </c>
      <c r="N4">
        <v>0.99769600000000003</v>
      </c>
    </row>
    <row r="5" spans="1:14" x14ac:dyDescent="0.25">
      <c r="A5" s="22">
        <v>55</v>
      </c>
      <c r="B5" s="22">
        <v>0.134409</v>
      </c>
      <c r="C5" s="22">
        <v>23.384599999999999</v>
      </c>
      <c r="D5" s="24">
        <v>9.4600000000000009</v>
      </c>
      <c r="E5" s="29">
        <f t="shared" si="0"/>
        <v>13.924599999999998</v>
      </c>
      <c r="F5" s="12">
        <v>1.514</v>
      </c>
      <c r="G5" s="25"/>
      <c r="H5">
        <v>-2.0090900000000001E-4</v>
      </c>
      <c r="I5">
        <v>1.03565E-4</v>
      </c>
      <c r="J5">
        <f>-5.88845*10^-6</f>
        <v>-5.8884499999999995E-6</v>
      </c>
      <c r="K5">
        <f t="shared" si="1"/>
        <v>5.8884499999999995E-6</v>
      </c>
      <c r="L5">
        <f t="shared" si="2"/>
        <v>3.04474E-4</v>
      </c>
      <c r="M5">
        <v>3.04474E-4</v>
      </c>
      <c r="N5">
        <v>0.99796799999999997</v>
      </c>
    </row>
    <row r="6" spans="1:14" x14ac:dyDescent="0.25">
      <c r="A6" s="22">
        <v>75</v>
      </c>
      <c r="B6" s="22">
        <v>0.14446899999999999</v>
      </c>
      <c r="C6" s="23">
        <v>21.714300000000001</v>
      </c>
      <c r="D6" s="24">
        <v>11.46</v>
      </c>
      <c r="E6" s="29">
        <f t="shared" si="0"/>
        <v>10.254300000000001</v>
      </c>
      <c r="F6" s="12">
        <v>1.51</v>
      </c>
      <c r="G6" s="25"/>
      <c r="H6">
        <v>-1.5738500000000001E-4</v>
      </c>
      <c r="I6">
        <v>8.1277400000000002E-5</v>
      </c>
      <c r="J6">
        <f>-4.53969*10^-6</f>
        <v>-4.5396900000000001E-6</v>
      </c>
      <c r="K6">
        <f t="shared" si="1"/>
        <v>4.5396900000000001E-6</v>
      </c>
      <c r="L6">
        <f t="shared" si="2"/>
        <v>2.3866240000000003E-4</v>
      </c>
      <c r="M6">
        <v>2.38662E-4</v>
      </c>
      <c r="N6">
        <v>0.99837299999999995</v>
      </c>
    </row>
    <row r="7" spans="1:14" x14ac:dyDescent="0.25">
      <c r="A7" s="22">
        <v>98</v>
      </c>
      <c r="B7" s="12">
        <v>0.15521699999999999</v>
      </c>
      <c r="C7" s="22">
        <v>20.758600000000001</v>
      </c>
      <c r="D7" s="24">
        <v>11.93</v>
      </c>
      <c r="E7" s="29">
        <f t="shared" si="0"/>
        <v>8.8286000000000016</v>
      </c>
      <c r="F7" s="12">
        <v>1.51</v>
      </c>
      <c r="G7" s="25"/>
      <c r="H7">
        <v>-1.4840200000000001E-4</v>
      </c>
      <c r="I7">
        <v>6.3972400000000004E-5</v>
      </c>
      <c r="J7">
        <f>-3.89409*10^-6</f>
        <v>-3.8940899999999998E-6</v>
      </c>
      <c r="K7">
        <f t="shared" si="1"/>
        <v>3.8940899999999998E-6</v>
      </c>
      <c r="L7">
        <f t="shared" si="2"/>
        <v>2.1237440000000001E-4</v>
      </c>
      <c r="M7">
        <v>2.12375E-4</v>
      </c>
      <c r="N7">
        <v>0.998865</v>
      </c>
    </row>
    <row r="8" spans="1:14" x14ac:dyDescent="0.25">
      <c r="A8" s="22">
        <v>111</v>
      </c>
      <c r="B8" s="12">
        <v>0.14135800000000001</v>
      </c>
      <c r="C8" s="22">
        <v>18.131799999999998</v>
      </c>
      <c r="D8" s="24">
        <v>10.8</v>
      </c>
      <c r="E8" s="29">
        <f t="shared" si="0"/>
        <v>7.3317999999999977</v>
      </c>
      <c r="F8" s="12">
        <v>1.498</v>
      </c>
      <c r="G8" s="25"/>
      <c r="H8">
        <v>-8.0041899999999997E-5</v>
      </c>
      <c r="I8">
        <v>9.3366099999999994E-5</v>
      </c>
      <c r="J8">
        <f>-6.80874*10^-6</f>
        <v>-6.80874E-6</v>
      </c>
      <c r="K8">
        <f t="shared" si="1"/>
        <v>6.80874E-6</v>
      </c>
      <c r="L8">
        <f t="shared" si="2"/>
        <v>1.73408E-4</v>
      </c>
      <c r="M8">
        <v>1.73408E-4</v>
      </c>
      <c r="N8">
        <v>0.999108</v>
      </c>
    </row>
    <row r="9" spans="1:14" x14ac:dyDescent="0.25">
      <c r="A9" s="22">
        <v>128</v>
      </c>
      <c r="B9" s="22">
        <v>0.12956599999999999</v>
      </c>
      <c r="C9" s="22">
        <v>18.3323</v>
      </c>
      <c r="D9" s="24">
        <v>7.84</v>
      </c>
      <c r="E9" s="29">
        <f t="shared" si="0"/>
        <v>10.4923</v>
      </c>
      <c r="F9" s="12">
        <v>1.508</v>
      </c>
      <c r="G9" s="25"/>
      <c r="H9">
        <v>-4.87411E-5</v>
      </c>
      <c r="I9">
        <v>1.6411E-4</v>
      </c>
      <c r="J9">
        <v>-1.0319099999999999E-5</v>
      </c>
      <c r="K9">
        <f t="shared" si="1"/>
        <v>1.0319099999999999E-5</v>
      </c>
      <c r="L9">
        <f t="shared" si="2"/>
        <v>2.1285109999999999E-4</v>
      </c>
      <c r="M9">
        <v>2.12852E-4</v>
      </c>
      <c r="N9">
        <v>0.99885599999999997</v>
      </c>
    </row>
    <row r="10" spans="1:14" x14ac:dyDescent="0.25">
      <c r="A10" s="22">
        <v>146</v>
      </c>
      <c r="B10" s="12">
        <v>0.165934</v>
      </c>
      <c r="C10" s="25">
        <v>18.843800000000002</v>
      </c>
      <c r="D10" s="25">
        <v>9.9700000000000006</v>
      </c>
      <c r="E10" s="29">
        <f t="shared" si="0"/>
        <v>8.873800000000001</v>
      </c>
      <c r="F10" s="12">
        <v>1.504</v>
      </c>
      <c r="G10" s="25"/>
      <c r="H10">
        <v>-1.3890800000000001E-4</v>
      </c>
      <c r="I10">
        <v>6.8597399999999995E-5</v>
      </c>
      <c r="J10">
        <f>-4.58888*10^-6</f>
        <v>-4.5888799999999997E-6</v>
      </c>
      <c r="K10">
        <f t="shared" si="1"/>
        <v>4.5888799999999997E-6</v>
      </c>
      <c r="L10">
        <f t="shared" si="2"/>
        <v>2.075054E-4</v>
      </c>
      <c r="M10">
        <v>2.07505E-4</v>
      </c>
      <c r="N10">
        <v>0.99842399999999998</v>
      </c>
    </row>
    <row r="11" spans="1:14" x14ac:dyDescent="0.25">
      <c r="A11" s="22">
        <v>165</v>
      </c>
      <c r="B11" s="12">
        <v>0.13867699999999999</v>
      </c>
      <c r="C11" s="22">
        <v>18.884599999999999</v>
      </c>
      <c r="D11" s="24">
        <v>9.89</v>
      </c>
      <c r="E11" s="29">
        <f t="shared" si="0"/>
        <v>8.9945999999999984</v>
      </c>
      <c r="F11" s="12">
        <v>1.496</v>
      </c>
      <c r="G11" s="25"/>
      <c r="H11">
        <v>-1.14704E-4</v>
      </c>
      <c r="I11">
        <v>9.1184800000000002E-5</v>
      </c>
      <c r="J11">
        <f>-6.83303*10^-6</f>
        <v>-6.83303E-6</v>
      </c>
      <c r="K11">
        <f t="shared" si="1"/>
        <v>6.83303E-6</v>
      </c>
      <c r="L11">
        <f t="shared" si="2"/>
        <v>2.0588879999999999E-4</v>
      </c>
      <c r="M11">
        <v>2.0588799999999999E-4</v>
      </c>
      <c r="N11">
        <v>0.999197</v>
      </c>
    </row>
    <row r="12" spans="1:14" x14ac:dyDescent="0.25">
      <c r="A12" s="22">
        <v>188</v>
      </c>
      <c r="B12" s="25">
        <v>0.12881000000000001</v>
      </c>
      <c r="C12" s="22">
        <v>20.793099999999999</v>
      </c>
      <c r="D12" s="24">
        <v>10.59</v>
      </c>
      <c r="E12" s="29">
        <f t="shared" si="0"/>
        <v>10.203099999999999</v>
      </c>
      <c r="F12" s="12">
        <v>1.492</v>
      </c>
      <c r="G12" s="25"/>
      <c r="H12">
        <v>-1.6253099999999999E-4</v>
      </c>
      <c r="I12">
        <v>7.4988100000000001E-5</v>
      </c>
      <c r="J12">
        <f>-5.92105*10^-6</f>
        <v>-5.9210499999999998E-6</v>
      </c>
      <c r="K12">
        <f t="shared" si="1"/>
        <v>5.9210499999999998E-6</v>
      </c>
      <c r="L12">
        <f t="shared" si="2"/>
        <v>2.3751909999999998E-4</v>
      </c>
      <c r="M12">
        <v>2.3751999999999999E-4</v>
      </c>
      <c r="N12">
        <v>0.99746699999999999</v>
      </c>
    </row>
    <row r="13" spans="1:14" x14ac:dyDescent="0.25">
      <c r="A13" s="22">
        <v>208</v>
      </c>
      <c r="B13" s="26">
        <v>0.13836000000000001</v>
      </c>
      <c r="C13" s="25">
        <v>18.2727</v>
      </c>
      <c r="D13" s="28">
        <v>9.3000000000000007</v>
      </c>
      <c r="E13" s="29">
        <f t="shared" si="0"/>
        <v>8.9726999999999997</v>
      </c>
      <c r="F13" s="12">
        <v>1.5009999999999999</v>
      </c>
      <c r="G13" s="25"/>
      <c r="H13">
        <v>-8.5817999999999997E-5</v>
      </c>
      <c r="I13">
        <v>1.13869E-4</v>
      </c>
      <c r="J13">
        <f>-7.96055*10^-6</f>
        <v>-7.9605499999999995E-6</v>
      </c>
      <c r="K13">
        <f t="shared" si="1"/>
        <v>7.9605499999999995E-6</v>
      </c>
      <c r="L13">
        <f t="shared" si="2"/>
        <v>1.9968699999999999E-4</v>
      </c>
      <c r="M13">
        <v>1.9968699999999999E-4</v>
      </c>
      <c r="N13">
        <v>0.99900299999999997</v>
      </c>
    </row>
    <row r="14" spans="1:14" x14ac:dyDescent="0.25">
      <c r="A14" s="22">
        <v>229</v>
      </c>
      <c r="B14" s="22">
        <v>0.15098500000000001</v>
      </c>
      <c r="C14" s="25">
        <v>18.424199999999999</v>
      </c>
      <c r="D14" s="24">
        <v>6.27</v>
      </c>
      <c r="E14" s="29">
        <f t="shared" si="0"/>
        <v>12.154199999999999</v>
      </c>
      <c r="F14" s="12">
        <v>1.502</v>
      </c>
      <c r="G14" s="25"/>
      <c r="H14">
        <v>-1.2837800000000001E-4</v>
      </c>
      <c r="I14">
        <v>1.0822E-4</v>
      </c>
      <c r="J14">
        <f>-7.45691*10^-6</f>
        <v>-7.4569099999999996E-6</v>
      </c>
      <c r="K14">
        <f t="shared" si="1"/>
        <v>7.4569099999999996E-6</v>
      </c>
      <c r="L14">
        <f t="shared" si="2"/>
        <v>2.3659800000000003E-4</v>
      </c>
      <c r="M14">
        <v>2.3659899999999999E-4</v>
      </c>
      <c r="N14">
        <v>0.99898600000000004</v>
      </c>
    </row>
    <row r="15" spans="1:14" x14ac:dyDescent="0.25">
      <c r="A15" s="22">
        <v>246</v>
      </c>
      <c r="B15" s="22">
        <v>0.11837499999999999</v>
      </c>
      <c r="C15" s="22">
        <v>20.066700000000001</v>
      </c>
      <c r="D15" s="24">
        <v>9.3699999999999992</v>
      </c>
      <c r="E15" s="29">
        <f t="shared" si="0"/>
        <v>10.696700000000002</v>
      </c>
      <c r="F15" s="12">
        <v>1.5129999999999999</v>
      </c>
      <c r="G15" s="25"/>
      <c r="H15">
        <v>-5.1418700000000003E-5</v>
      </c>
      <c r="I15">
        <v>1.7400900000000001E-4</v>
      </c>
      <c r="J15">
        <v>-1.00683E-5</v>
      </c>
      <c r="K15">
        <f t="shared" si="1"/>
        <v>1.00683E-5</v>
      </c>
      <c r="L15">
        <f t="shared" si="2"/>
        <v>2.2542770000000002E-4</v>
      </c>
      <c r="M15">
        <v>2.2542800000000001E-4</v>
      </c>
      <c r="N15">
        <v>0.99878599999999995</v>
      </c>
    </row>
    <row r="16" spans="1:14" x14ac:dyDescent="0.25">
      <c r="A16" s="22">
        <v>270</v>
      </c>
      <c r="B16" s="22">
        <v>0.15171000000000001</v>
      </c>
      <c r="C16" s="22">
        <v>18.874199999999998</v>
      </c>
      <c r="D16" s="24">
        <v>6.89</v>
      </c>
      <c r="E16" s="29">
        <f t="shared" si="0"/>
        <v>11.984199999999998</v>
      </c>
      <c r="F16" s="12">
        <v>1.5009999999999999</v>
      </c>
      <c r="G16" s="25"/>
      <c r="H16">
        <v>-1.4323E-4</v>
      </c>
      <c r="I16">
        <v>1.00498E-4</v>
      </c>
      <c r="J16">
        <f>-7.02582*10^-6</f>
        <v>-7.0258200000000003E-6</v>
      </c>
      <c r="K16">
        <f t="shared" si="1"/>
        <v>7.0258200000000003E-6</v>
      </c>
      <c r="L16">
        <f t="shared" si="2"/>
        <v>2.4372799999999999E-4</v>
      </c>
      <c r="M16">
        <v>2.4372799999999999E-4</v>
      </c>
      <c r="N16">
        <v>0.99811000000000005</v>
      </c>
    </row>
    <row r="17" spans="1:14" x14ac:dyDescent="0.25">
      <c r="A17" s="22">
        <v>318</v>
      </c>
      <c r="B17" s="22">
        <v>0.16807</v>
      </c>
      <c r="C17" s="22">
        <v>17.375299999999999</v>
      </c>
      <c r="D17" s="24">
        <v>4.95</v>
      </c>
      <c r="E17" s="29">
        <f t="shared" si="0"/>
        <v>12.4253</v>
      </c>
      <c r="F17" s="12">
        <v>1.5109999999999999</v>
      </c>
      <c r="G17" s="25"/>
      <c r="H17">
        <v>-1.13961E-4</v>
      </c>
      <c r="I17">
        <v>1.0522999999999999E-4</v>
      </c>
      <c r="J17">
        <f>-6.2999*10^-6</f>
        <v>-6.2998999999999996E-6</v>
      </c>
      <c r="K17">
        <f t="shared" si="1"/>
        <v>6.2998999999999996E-6</v>
      </c>
      <c r="L17">
        <f t="shared" si="2"/>
        <v>2.1919099999999998E-4</v>
      </c>
      <c r="M17">
        <v>2.1919100000000001E-4</v>
      </c>
      <c r="N17">
        <v>0.99847200000000003</v>
      </c>
    </row>
    <row r="18" spans="1:14" x14ac:dyDescent="0.25">
      <c r="A18" s="22">
        <v>440</v>
      </c>
      <c r="B18" s="22">
        <v>0.126445</v>
      </c>
      <c r="C18" s="22">
        <v>24.349699999999999</v>
      </c>
      <c r="D18" s="24">
        <v>6.78</v>
      </c>
      <c r="E18" s="29">
        <f t="shared" si="0"/>
        <v>17.569699999999997</v>
      </c>
      <c r="F18" s="12">
        <v>1.5209999999999999</v>
      </c>
      <c r="G18" s="25"/>
      <c r="H18">
        <v>-1.9828900000000001E-4</v>
      </c>
      <c r="I18">
        <v>1.2898400000000001E-4</v>
      </c>
      <c r="J18">
        <f>-6.42826*10^-6</f>
        <v>-6.4282599999999997E-6</v>
      </c>
      <c r="K18">
        <f t="shared" si="1"/>
        <v>6.4282599999999997E-6</v>
      </c>
      <c r="L18">
        <f t="shared" si="2"/>
        <v>3.27273E-4</v>
      </c>
      <c r="M18">
        <v>3.27273E-4</v>
      </c>
      <c r="N18">
        <v>0.99791200000000002</v>
      </c>
    </row>
    <row r="19" spans="1:14" x14ac:dyDescent="0.25">
      <c r="A19" s="22">
        <v>486</v>
      </c>
      <c r="B19" s="22">
        <v>0.12565999999999999</v>
      </c>
      <c r="C19" s="22">
        <v>18.8125</v>
      </c>
      <c r="D19" s="24">
        <v>5.25</v>
      </c>
      <c r="E19" s="29">
        <f t="shared" si="0"/>
        <v>13.5625</v>
      </c>
      <c r="F19" s="12">
        <v>1.51</v>
      </c>
      <c r="G19" s="25"/>
      <c r="H19">
        <v>-5.00328E-5</v>
      </c>
      <c r="I19">
        <v>1.7965599999999999E-4</v>
      </c>
      <c r="J19">
        <v>-1.09359E-5</v>
      </c>
      <c r="K19">
        <f t="shared" si="1"/>
        <v>1.09359E-5</v>
      </c>
      <c r="L19">
        <f t="shared" si="2"/>
        <v>2.2968879999999998E-4</v>
      </c>
      <c r="M19">
        <v>2.29688E-4</v>
      </c>
      <c r="N19">
        <v>0.99888399999999999</v>
      </c>
    </row>
    <row r="20" spans="1:14" x14ac:dyDescent="0.25">
      <c r="A20" s="22">
        <v>539</v>
      </c>
      <c r="B20" s="22">
        <v>0.123519</v>
      </c>
      <c r="C20" s="22">
        <v>19</v>
      </c>
      <c r="D20" s="24">
        <v>5.28</v>
      </c>
      <c r="E20" s="29">
        <f t="shared" si="0"/>
        <v>13.719999999999999</v>
      </c>
      <c r="F20" s="12">
        <v>1.51</v>
      </c>
      <c r="G20" s="25"/>
      <c r="H20">
        <v>-4.8562300000000001E-5</v>
      </c>
      <c r="I20">
        <v>1.8370800000000001E-4</v>
      </c>
      <c r="J20">
        <v>-1.11825E-5</v>
      </c>
      <c r="K20">
        <f t="shared" si="1"/>
        <v>1.11825E-5</v>
      </c>
      <c r="L20">
        <f t="shared" si="2"/>
        <v>2.3227030000000002E-4</v>
      </c>
      <c r="M20">
        <v>2.3227E-4</v>
      </c>
      <c r="N20">
        <v>0.99915299999999996</v>
      </c>
    </row>
    <row r="21" spans="1:14" x14ac:dyDescent="0.25">
      <c r="A21" s="22">
        <v>555</v>
      </c>
      <c r="B21" s="25">
        <v>0.13619999999999999</v>
      </c>
      <c r="C21" s="22">
        <v>20.931000000000001</v>
      </c>
      <c r="D21" s="24">
        <v>5.83</v>
      </c>
      <c r="E21" s="29">
        <f t="shared" si="0"/>
        <v>15.101000000000001</v>
      </c>
      <c r="F21" s="12">
        <v>1.522</v>
      </c>
      <c r="G21" s="25"/>
      <c r="H21">
        <v>-1.26484E-4</v>
      </c>
      <c r="I21">
        <v>1.3386299999999999E-4</v>
      </c>
      <c r="J21">
        <f>-6.53722*10^-6</f>
        <v>-6.5372199999999996E-6</v>
      </c>
      <c r="K21">
        <f t="shared" si="1"/>
        <v>6.5372199999999996E-6</v>
      </c>
      <c r="L21">
        <f t="shared" si="2"/>
        <v>2.6034699999999997E-4</v>
      </c>
      <c r="M21">
        <v>2.6034700000000002E-4</v>
      </c>
      <c r="N21">
        <v>0.99864299999999995</v>
      </c>
    </row>
    <row r="22" spans="1:14" x14ac:dyDescent="0.25">
      <c r="A22" s="22">
        <v>609</v>
      </c>
      <c r="B22" s="25">
        <v>9.4736000000000001E-2</v>
      </c>
      <c r="C22" s="22">
        <v>25.125</v>
      </c>
      <c r="D22" s="24">
        <v>6.58</v>
      </c>
      <c r="E22" s="29">
        <f t="shared" si="0"/>
        <v>18.545000000000002</v>
      </c>
      <c r="F22" s="25">
        <v>1.5109999999999999</v>
      </c>
      <c r="G22" s="25"/>
      <c r="H22">
        <v>-1.5631799999999999E-4</v>
      </c>
      <c r="I22">
        <v>1.7507199999999999E-4</v>
      </c>
      <c r="J22">
        <v>-1.0481200000000001E-5</v>
      </c>
      <c r="K22">
        <f t="shared" si="1"/>
        <v>1.0481200000000001E-5</v>
      </c>
      <c r="L22">
        <f t="shared" si="2"/>
        <v>3.3138999999999998E-4</v>
      </c>
      <c r="M22">
        <v>3.3138999999999998E-4</v>
      </c>
      <c r="N22">
        <v>0.998027</v>
      </c>
    </row>
    <row r="23" spans="1:14" x14ac:dyDescent="0.25">
      <c r="A23" s="43" t="s">
        <v>6</v>
      </c>
      <c r="B23" s="44">
        <f>AVERAGE(B3:B22)</f>
        <v>0.13750279999999998</v>
      </c>
      <c r="C23" s="44">
        <f t="shared" ref="C23:N23" si="3">AVERAGE(C3:C22)</f>
        <v>20.039234999999998</v>
      </c>
      <c r="D23" s="44">
        <f t="shared" si="3"/>
        <v>8.4740000000000002</v>
      </c>
      <c r="E23" s="44">
        <f t="shared" si="3"/>
        <v>11.565234999999998</v>
      </c>
      <c r="F23" s="44">
        <f t="shared" si="3"/>
        <v>1.50695</v>
      </c>
      <c r="G23" s="44" t="s">
        <v>52</v>
      </c>
      <c r="H23" s="44">
        <f t="shared" si="3"/>
        <v>-1.17476905E-4</v>
      </c>
      <c r="I23" s="44">
        <f t="shared" si="3"/>
        <v>1.1794139000000001E-4</v>
      </c>
      <c r="J23" s="44">
        <f t="shared" si="3"/>
        <v>-7.4277274999999994E-6</v>
      </c>
      <c r="K23" s="44">
        <f t="shared" si="3"/>
        <v>7.4277274999999994E-6</v>
      </c>
      <c r="L23" s="44">
        <f t="shared" si="3"/>
        <v>2.35418295E-4</v>
      </c>
      <c r="M23" s="44">
        <f>-AVERAGE(M3:M22)</f>
        <v>-2.3541830000000001E-4</v>
      </c>
      <c r="N23" s="44">
        <f t="shared" si="3"/>
        <v>0.99854630000000011</v>
      </c>
    </row>
    <row r="24" spans="1:14" x14ac:dyDescent="0.25">
      <c r="A24" s="45" t="s">
        <v>7</v>
      </c>
      <c r="B24" s="12">
        <f>_xlfn.STDEV.P(B3:B22)</f>
        <v>1.6423098713702008E-2</v>
      </c>
      <c r="C24" s="12">
        <f t="shared" ref="C24:N24" si="4">_xlfn.STDEV.P(C3:C22)</f>
        <v>2.2305476312500292</v>
      </c>
      <c r="D24" s="12">
        <f t="shared" si="4"/>
        <v>2.2825236033828831</v>
      </c>
      <c r="E24" s="12">
        <f t="shared" si="4"/>
        <v>3.0100675931405654</v>
      </c>
      <c r="F24" s="12">
        <f t="shared" si="4"/>
        <v>8.2733004296955074E-3</v>
      </c>
      <c r="G24" s="12" t="s">
        <v>53</v>
      </c>
      <c r="H24" s="12">
        <f t="shared" si="4"/>
        <v>5.0051240684896857E-5</v>
      </c>
      <c r="I24" s="12">
        <f t="shared" si="4"/>
        <v>3.8804789380086839E-5</v>
      </c>
      <c r="J24" s="12">
        <f t="shared" si="4"/>
        <v>2.3677831633151611E-6</v>
      </c>
      <c r="K24" s="12">
        <f t="shared" si="4"/>
        <v>2.3677831633151611E-6</v>
      </c>
      <c r="L24" s="12">
        <f t="shared" si="4"/>
        <v>4.1720911345792472E-5</v>
      </c>
      <c r="M24" s="12">
        <f t="shared" si="4"/>
        <v>4.1720939806169275E-5</v>
      </c>
      <c r="N24" s="12">
        <f t="shared" si="4"/>
        <v>5.1111066316404771E-4</v>
      </c>
    </row>
    <row r="25" spans="1:14" x14ac:dyDescent="0.25">
      <c r="A25" s="45" t="s">
        <v>8</v>
      </c>
      <c r="B25" s="12">
        <f>B23+B24</f>
        <v>0.15392589871370199</v>
      </c>
      <c r="C25" s="42"/>
      <c r="D25" s="42"/>
      <c r="E25" s="42"/>
      <c r="F25" s="42"/>
      <c r="G25" s="42"/>
    </row>
    <row r="26" spans="1:14" ht="15.75" thickBot="1" x14ac:dyDescent="0.3">
      <c r="A26" s="46" t="s">
        <v>9</v>
      </c>
      <c r="B26" s="47">
        <f>B23-B24</f>
        <v>0.12107970128629797</v>
      </c>
      <c r="C26" s="42"/>
      <c r="D26" s="42"/>
      <c r="E26" s="42"/>
      <c r="F26" s="42"/>
      <c r="G26" s="42"/>
    </row>
  </sheetData>
  <mergeCells count="1"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N29"/>
  <sheetViews>
    <sheetView workbookViewId="0">
      <selection activeCell="H26" activeCellId="2" sqref="B26:C27 E26:F27 H26:N27"/>
    </sheetView>
  </sheetViews>
  <sheetFormatPr defaultRowHeight="15" x14ac:dyDescent="0.25"/>
  <cols>
    <col min="8" max="8" width="12.7109375" bestFit="1" customWidth="1"/>
    <col min="11" max="11" width="12" bestFit="1" customWidth="1"/>
    <col min="12" max="12" width="11" bestFit="1" customWidth="1"/>
  </cols>
  <sheetData>
    <row r="1" spans="1:14" x14ac:dyDescent="0.25">
      <c r="A1" s="212" t="s">
        <v>29</v>
      </c>
      <c r="B1" s="213"/>
      <c r="C1" s="213"/>
      <c r="D1" s="213"/>
      <c r="E1" s="213"/>
      <c r="F1" s="214"/>
      <c r="G1" s="42"/>
    </row>
    <row r="2" spans="1:14" ht="45" x14ac:dyDescent="0.25">
      <c r="A2" s="1" t="s">
        <v>1</v>
      </c>
      <c r="B2" s="2" t="s">
        <v>2</v>
      </c>
      <c r="C2" s="2" t="s">
        <v>19</v>
      </c>
      <c r="D2" s="2" t="s">
        <v>20</v>
      </c>
      <c r="E2" s="2" t="s">
        <v>44</v>
      </c>
      <c r="F2" s="3" t="s">
        <v>4</v>
      </c>
      <c r="G2" s="41" t="s">
        <v>5</v>
      </c>
      <c r="H2" s="3" t="s">
        <v>37</v>
      </c>
      <c r="I2" s="50" t="s">
        <v>39</v>
      </c>
      <c r="J2" s="50" t="s">
        <v>41</v>
      </c>
      <c r="K2" s="50" t="s">
        <v>38</v>
      </c>
      <c r="L2" s="3" t="s">
        <v>42</v>
      </c>
      <c r="M2" s="3" t="s">
        <v>40</v>
      </c>
      <c r="N2" s="50" t="s">
        <v>43</v>
      </c>
    </row>
    <row r="3" spans="1:14" x14ac:dyDescent="0.25">
      <c r="A3" s="22">
        <v>9</v>
      </c>
      <c r="B3" s="42">
        <v>0.18984699999999999</v>
      </c>
      <c r="C3" s="29">
        <v>21.1861</v>
      </c>
      <c r="D3" s="29">
        <v>17.809999999999999</v>
      </c>
      <c r="E3" s="29">
        <f>C3-D3</f>
        <v>3.376100000000001</v>
      </c>
      <c r="F3" s="12">
        <v>1.5309999999999999</v>
      </c>
      <c r="G3" s="25"/>
      <c r="H3">
        <v>-6.18444E-5</v>
      </c>
      <c r="I3">
        <v>2.6145599999999999E-5</v>
      </c>
      <c r="J3">
        <f>-1.04105*10^-6</f>
        <v>-1.04105E-6</v>
      </c>
      <c r="K3">
        <f>-J3</f>
        <v>1.04105E-6</v>
      </c>
      <c r="L3">
        <f>I3-H3</f>
        <v>8.7990000000000003E-5</v>
      </c>
      <c r="M3">
        <v>8.7990000000000003E-5</v>
      </c>
      <c r="N3">
        <v>0.99789099999999997</v>
      </c>
    </row>
    <row r="4" spans="1:14" x14ac:dyDescent="0.25">
      <c r="A4" s="22">
        <v>21</v>
      </c>
      <c r="B4" s="29">
        <v>0.11457000000000001</v>
      </c>
      <c r="C4" s="29">
        <v>21.075800000000001</v>
      </c>
      <c r="D4" s="29">
        <v>7.56</v>
      </c>
      <c r="E4" s="29">
        <f t="shared" ref="E4:E25" si="0">C4-D4</f>
        <v>13.515800000000002</v>
      </c>
      <c r="F4" s="12">
        <v>1.524</v>
      </c>
      <c r="G4" s="25"/>
      <c r="H4">
        <v>-3.8111700000000003E-5</v>
      </c>
      <c r="I4">
        <v>2.0951300000000001E-4</v>
      </c>
      <c r="J4">
        <f>-9.81159*10^-6</f>
        <v>-9.8115900000000004E-6</v>
      </c>
      <c r="K4">
        <f t="shared" ref="K4:K25" si="1">-J4</f>
        <v>9.8115900000000004E-6</v>
      </c>
      <c r="L4">
        <f t="shared" ref="L4:L25" si="2">I4-H4</f>
        <v>2.4762470000000002E-4</v>
      </c>
      <c r="M4">
        <v>2.47624E-4</v>
      </c>
      <c r="N4">
        <v>0.99719999999999998</v>
      </c>
    </row>
    <row r="5" spans="1:14" x14ac:dyDescent="0.25">
      <c r="A5" s="22">
        <v>43</v>
      </c>
      <c r="B5" s="42">
        <v>0.13207199999999999</v>
      </c>
      <c r="C5" s="29">
        <v>22.816700000000001</v>
      </c>
      <c r="D5" s="29">
        <v>10.85</v>
      </c>
      <c r="E5" s="29">
        <f t="shared" si="0"/>
        <v>11.966700000000001</v>
      </c>
      <c r="F5" s="12">
        <v>1.518</v>
      </c>
      <c r="G5" s="25"/>
      <c r="H5">
        <v>-1.64232E-4</v>
      </c>
      <c r="I5">
        <v>1.02342E-4</v>
      </c>
      <c r="J5">
        <f>-5.40829*10^-6</f>
        <v>-5.4082899999999997E-6</v>
      </c>
      <c r="K5">
        <f t="shared" si="1"/>
        <v>5.4082899999999997E-6</v>
      </c>
      <c r="L5">
        <f t="shared" si="2"/>
        <v>2.66574E-4</v>
      </c>
      <c r="M5">
        <v>2.66574E-4</v>
      </c>
      <c r="N5">
        <v>0.99602599999999997</v>
      </c>
    </row>
    <row r="6" spans="1:14" x14ac:dyDescent="0.25">
      <c r="A6" s="22">
        <v>85</v>
      </c>
      <c r="B6" s="22">
        <v>0.19353200000000001</v>
      </c>
      <c r="C6" s="22">
        <v>16.121700000000001</v>
      </c>
      <c r="D6" s="24">
        <v>12.1</v>
      </c>
      <c r="E6" s="29">
        <f t="shared" si="0"/>
        <v>4.0217000000000009</v>
      </c>
      <c r="F6" s="12">
        <v>1.51</v>
      </c>
      <c r="G6" s="25"/>
      <c r="H6">
        <v>-5.1748400000000001E-5</v>
      </c>
      <c r="I6">
        <v>4.9857100000000001E-5</v>
      </c>
      <c r="J6">
        <f>-3.03487*10^-6</f>
        <v>-3.03487E-6</v>
      </c>
      <c r="K6">
        <f t="shared" si="1"/>
        <v>3.03487E-6</v>
      </c>
      <c r="L6">
        <f t="shared" si="2"/>
        <v>1.0160550000000001E-4</v>
      </c>
      <c r="M6">
        <v>1.01606E-4</v>
      </c>
      <c r="N6">
        <v>0.99814800000000004</v>
      </c>
    </row>
    <row r="7" spans="1:14" x14ac:dyDescent="0.25">
      <c r="A7" s="22">
        <v>109</v>
      </c>
      <c r="B7" s="22">
        <v>9.0904399999999996E-2</v>
      </c>
      <c r="C7" s="23">
        <v>30.3994</v>
      </c>
      <c r="D7" s="24">
        <v>13.74</v>
      </c>
      <c r="E7" s="29">
        <f t="shared" si="0"/>
        <v>16.659399999999998</v>
      </c>
      <c r="F7" s="12">
        <v>1.532</v>
      </c>
      <c r="G7" s="25" t="s">
        <v>30</v>
      </c>
      <c r="H7">
        <v>-1.8207499999999999E-4</v>
      </c>
      <c r="I7">
        <v>1.73296E-4</v>
      </c>
      <c r="J7">
        <f>-6.72663*10^-6</f>
        <v>-6.7266299999999997E-6</v>
      </c>
      <c r="K7">
        <f t="shared" si="1"/>
        <v>6.7266299999999997E-6</v>
      </c>
      <c r="L7">
        <f t="shared" si="2"/>
        <v>3.55371E-4</v>
      </c>
      <c r="M7">
        <v>3.55371E-4</v>
      </c>
      <c r="N7">
        <v>0.99308099999999999</v>
      </c>
    </row>
    <row r="8" spans="1:14" x14ac:dyDescent="0.25">
      <c r="A8" s="22">
        <v>161</v>
      </c>
      <c r="B8" s="12">
        <v>0.13266800000000001</v>
      </c>
      <c r="C8" s="22">
        <v>17.542899999999999</v>
      </c>
      <c r="D8" s="24">
        <v>6.17</v>
      </c>
      <c r="E8" s="29">
        <f t="shared" si="0"/>
        <v>11.3729</v>
      </c>
      <c r="F8" s="12">
        <v>1.506</v>
      </c>
      <c r="G8" s="25"/>
      <c r="H8">
        <v>-3.6702300000000003E-5</v>
      </c>
      <c r="I8">
        <v>1.74496E-4</v>
      </c>
      <c r="J8">
        <v>-1.1322600000000001E-5</v>
      </c>
      <c r="K8">
        <f t="shared" si="1"/>
        <v>1.1322600000000001E-5</v>
      </c>
      <c r="L8">
        <f t="shared" si="2"/>
        <v>2.111983E-4</v>
      </c>
      <c r="M8">
        <v>2.11199E-4</v>
      </c>
      <c r="N8">
        <v>0.99841599999999997</v>
      </c>
    </row>
    <row r="9" spans="1:14" x14ac:dyDescent="0.25">
      <c r="A9" s="22">
        <v>183</v>
      </c>
      <c r="B9" s="22">
        <v>0.11843099999999999</v>
      </c>
      <c r="C9" s="22">
        <v>19.235800000000001</v>
      </c>
      <c r="D9" s="24">
        <v>7.27</v>
      </c>
      <c r="E9" s="29">
        <f t="shared" si="0"/>
        <v>11.965800000000002</v>
      </c>
      <c r="F9" s="12">
        <v>1.522</v>
      </c>
      <c r="G9" s="25"/>
      <c r="H9" s="8">
        <v>1.52385E-5</v>
      </c>
      <c r="I9">
        <v>2.36302E-4</v>
      </c>
      <c r="J9">
        <v>-1.1539799999999999E-5</v>
      </c>
      <c r="K9">
        <f t="shared" si="1"/>
        <v>1.1539799999999999E-5</v>
      </c>
      <c r="L9">
        <f t="shared" si="2"/>
        <v>2.210635E-4</v>
      </c>
      <c r="M9">
        <v>2.2106299999999999E-4</v>
      </c>
      <c r="N9">
        <v>0.99871500000000002</v>
      </c>
    </row>
    <row r="10" spans="1:14" x14ac:dyDescent="0.25">
      <c r="A10" s="22">
        <v>214</v>
      </c>
      <c r="B10" s="12">
        <v>0.13881499999999999</v>
      </c>
      <c r="C10" s="22">
        <v>21.263999999999999</v>
      </c>
      <c r="D10" s="24">
        <v>8.9499999999999993</v>
      </c>
      <c r="E10" s="29">
        <f t="shared" si="0"/>
        <v>12.314</v>
      </c>
      <c r="F10" s="12">
        <v>1.5209999999999999</v>
      </c>
      <c r="G10" s="25"/>
      <c r="H10">
        <v>-1.3994999999999999E-4</v>
      </c>
      <c r="I10">
        <v>1.1589100000000001E-4</v>
      </c>
      <c r="J10">
        <f>-5.77571*10^-6</f>
        <v>-5.7757099999999995E-6</v>
      </c>
      <c r="K10">
        <f t="shared" si="1"/>
        <v>5.7757099999999995E-6</v>
      </c>
      <c r="L10">
        <f t="shared" si="2"/>
        <v>2.5584099999999998E-4</v>
      </c>
      <c r="M10">
        <v>2.5584099999999998E-4</v>
      </c>
      <c r="N10">
        <v>0.99741800000000003</v>
      </c>
    </row>
    <row r="11" spans="1:14" x14ac:dyDescent="0.25">
      <c r="A11" s="22">
        <v>265</v>
      </c>
      <c r="B11" s="26">
        <v>0.12795999999999999</v>
      </c>
      <c r="C11" s="25">
        <v>17.0289</v>
      </c>
      <c r="D11" s="28">
        <v>7.57</v>
      </c>
      <c r="E11" s="29">
        <f t="shared" si="0"/>
        <v>9.4588999999999999</v>
      </c>
      <c r="F11" s="12">
        <v>1.5069999999999999</v>
      </c>
      <c r="G11" s="25"/>
      <c r="H11" s="8">
        <v>1.85547E-5</v>
      </c>
      <c r="I11">
        <v>2.10385E-4</v>
      </c>
      <c r="J11">
        <v>-1.34401E-5</v>
      </c>
      <c r="K11">
        <f t="shared" si="1"/>
        <v>1.34401E-5</v>
      </c>
      <c r="L11">
        <f t="shared" si="2"/>
        <v>1.9183030000000001E-4</v>
      </c>
      <c r="M11">
        <v>1.91831E-4</v>
      </c>
      <c r="N11">
        <v>0.99830700000000006</v>
      </c>
    </row>
    <row r="12" spans="1:14" x14ac:dyDescent="0.25">
      <c r="A12" s="22">
        <v>304</v>
      </c>
      <c r="B12" s="22">
        <v>0.143176</v>
      </c>
      <c r="C12" s="22">
        <v>19.142199999999999</v>
      </c>
      <c r="D12" s="24">
        <v>8.8000000000000007</v>
      </c>
      <c r="E12" s="29">
        <f t="shared" si="0"/>
        <v>10.342199999999998</v>
      </c>
      <c r="F12" s="12">
        <v>1.52</v>
      </c>
      <c r="G12" s="25"/>
      <c r="H12">
        <v>-8.9506399999999994E-5</v>
      </c>
      <c r="I12">
        <v>1.2645899999999999E-4</v>
      </c>
      <c r="J12">
        <f>-6.42917*10^-6</f>
        <v>-6.4291699999999998E-6</v>
      </c>
      <c r="K12">
        <f t="shared" si="1"/>
        <v>6.4291699999999998E-6</v>
      </c>
      <c r="L12">
        <f t="shared" si="2"/>
        <v>2.1596539999999998E-4</v>
      </c>
      <c r="M12">
        <v>2.1596500000000001E-4</v>
      </c>
      <c r="N12">
        <v>0.99739</v>
      </c>
    </row>
    <row r="13" spans="1:14" x14ac:dyDescent="0.25">
      <c r="A13" s="22">
        <v>347</v>
      </c>
      <c r="B13" s="22">
        <v>0.13786000000000001</v>
      </c>
      <c r="C13" s="22">
        <v>25.691099999999999</v>
      </c>
      <c r="D13" s="24">
        <v>13.04</v>
      </c>
      <c r="E13" s="29">
        <f t="shared" si="0"/>
        <v>12.6511</v>
      </c>
      <c r="F13" s="12">
        <v>1.5349999999999999</v>
      </c>
      <c r="G13" s="25"/>
      <c r="H13">
        <v>-2.03119E-4</v>
      </c>
      <c r="I13">
        <v>9.2957100000000005E-5</v>
      </c>
      <c r="J13">
        <f>-3.32894*10^-6</f>
        <v>-3.3289399999999998E-6</v>
      </c>
      <c r="K13">
        <f t="shared" si="1"/>
        <v>3.3289399999999998E-6</v>
      </c>
      <c r="L13">
        <f t="shared" si="2"/>
        <v>2.9607610000000002E-4</v>
      </c>
      <c r="M13">
        <v>2.9607599999999999E-4</v>
      </c>
      <c r="N13">
        <v>0.991151</v>
      </c>
    </row>
    <row r="14" spans="1:14" x14ac:dyDescent="0.25">
      <c r="A14" s="22">
        <v>415</v>
      </c>
      <c r="B14" s="25">
        <v>0.13219900000000001</v>
      </c>
      <c r="C14" s="22">
        <v>27.979700000000001</v>
      </c>
      <c r="D14" s="24">
        <v>13.82</v>
      </c>
      <c r="E14" s="29">
        <f t="shared" si="0"/>
        <v>14.159700000000001</v>
      </c>
      <c r="F14" s="12">
        <v>1.5509999999999999</v>
      </c>
      <c r="G14" s="25"/>
      <c r="H14">
        <v>-2.1483900000000001E-4</v>
      </c>
      <c r="I14">
        <v>1.08594E-4</v>
      </c>
      <c r="J14">
        <f>-2.15004*10^-6</f>
        <v>-2.15004E-6</v>
      </c>
      <c r="K14">
        <f t="shared" si="1"/>
        <v>2.15004E-6</v>
      </c>
      <c r="L14">
        <f t="shared" si="2"/>
        <v>3.2343300000000003E-4</v>
      </c>
      <c r="M14">
        <v>3.2343299999999998E-4</v>
      </c>
      <c r="N14">
        <v>0.98956</v>
      </c>
    </row>
    <row r="15" spans="1:14" x14ac:dyDescent="0.25">
      <c r="A15" s="22">
        <v>501</v>
      </c>
      <c r="B15" s="22">
        <v>0.15173700000000001</v>
      </c>
      <c r="C15" s="22">
        <v>17.599799999999998</v>
      </c>
      <c r="D15" s="24">
        <v>9.07</v>
      </c>
      <c r="E15" s="29">
        <f t="shared" si="0"/>
        <v>8.5297999999999981</v>
      </c>
      <c r="F15" s="12">
        <v>1.518</v>
      </c>
      <c r="G15" s="25"/>
      <c r="H15">
        <v>-6.2459399999999994E-5</v>
      </c>
      <c r="I15">
        <v>1.2280099999999999E-4</v>
      </c>
      <c r="J15">
        <f>-6.48947*10^-6</f>
        <v>-6.4894699999999999E-6</v>
      </c>
      <c r="K15">
        <f t="shared" si="1"/>
        <v>6.4894699999999999E-6</v>
      </c>
      <c r="L15">
        <f t="shared" si="2"/>
        <v>1.852604E-4</v>
      </c>
      <c r="M15">
        <v>1.8526E-4</v>
      </c>
      <c r="N15">
        <v>0.99798600000000004</v>
      </c>
    </row>
    <row r="16" spans="1:14" x14ac:dyDescent="0.25">
      <c r="A16" s="22">
        <v>529</v>
      </c>
      <c r="B16" s="22">
        <v>0.125863</v>
      </c>
      <c r="C16" s="22">
        <v>14.6625</v>
      </c>
      <c r="D16" s="24">
        <v>7.68</v>
      </c>
      <c r="E16" s="29">
        <f t="shared" si="0"/>
        <v>6.9824999999999999</v>
      </c>
      <c r="F16" s="12">
        <v>1.508</v>
      </c>
      <c r="G16" s="25"/>
      <c r="H16" s="8">
        <v>2.22757E-4</v>
      </c>
      <c r="I16">
        <v>3.7156400000000001E-4</v>
      </c>
      <c r="J16">
        <v>-2.3363600000000001E-5</v>
      </c>
      <c r="K16">
        <f t="shared" si="1"/>
        <v>2.3363600000000001E-5</v>
      </c>
      <c r="L16">
        <f t="shared" si="2"/>
        <v>1.4880700000000001E-4</v>
      </c>
      <c r="M16">
        <v>1.4880699999999999E-4</v>
      </c>
      <c r="N16">
        <v>0.99776699999999996</v>
      </c>
    </row>
    <row r="17" spans="1:14" x14ac:dyDescent="0.25">
      <c r="A17" s="22">
        <v>597</v>
      </c>
      <c r="B17" s="22">
        <v>0.10288799999999999</v>
      </c>
      <c r="C17" s="22">
        <v>19.7742</v>
      </c>
      <c r="D17" s="24">
        <v>10.23</v>
      </c>
      <c r="E17" s="29">
        <f t="shared" si="0"/>
        <v>9.5442</v>
      </c>
      <c r="F17" s="25">
        <v>1.5309999999999999</v>
      </c>
      <c r="G17" s="25"/>
      <c r="H17" s="8">
        <v>1.8928E-4</v>
      </c>
      <c r="I17">
        <v>3.8930200000000001E-4</v>
      </c>
      <c r="J17">
        <v>-1.5500999999999999E-5</v>
      </c>
      <c r="K17">
        <f t="shared" si="1"/>
        <v>1.5500999999999999E-5</v>
      </c>
      <c r="L17">
        <f t="shared" si="2"/>
        <v>2.00022E-4</v>
      </c>
      <c r="M17">
        <v>2.00022E-4</v>
      </c>
      <c r="N17">
        <v>0.99709599999999998</v>
      </c>
    </row>
    <row r="18" spans="1:14" x14ac:dyDescent="0.25">
      <c r="A18" s="22">
        <v>605</v>
      </c>
      <c r="B18" s="22">
        <v>0.124052</v>
      </c>
      <c r="C18" s="22">
        <v>20.433299999999999</v>
      </c>
      <c r="D18" s="24">
        <v>10.67</v>
      </c>
      <c r="E18" s="29">
        <f t="shared" si="0"/>
        <v>9.7632999999999992</v>
      </c>
      <c r="F18" s="12">
        <v>1.5249999999999999</v>
      </c>
      <c r="G18" s="25"/>
      <c r="H18">
        <v>-4.5649499999999997E-5</v>
      </c>
      <c r="I18">
        <v>1.6635900000000001E-4</v>
      </c>
      <c r="J18">
        <f>-7.62398*10^-6</f>
        <v>-7.6239800000000005E-6</v>
      </c>
      <c r="K18">
        <f t="shared" si="1"/>
        <v>7.6239800000000005E-6</v>
      </c>
      <c r="L18">
        <f t="shared" si="2"/>
        <v>2.120085E-4</v>
      </c>
      <c r="M18">
        <v>2.1200900000000001E-4</v>
      </c>
      <c r="N18">
        <v>0.99670999999999998</v>
      </c>
    </row>
    <row r="19" spans="1:14" x14ac:dyDescent="0.25">
      <c r="A19" s="22">
        <v>640</v>
      </c>
      <c r="B19" s="22">
        <v>0.109935</v>
      </c>
      <c r="C19" s="22">
        <v>21.857099999999999</v>
      </c>
      <c r="D19" s="24">
        <v>11.39</v>
      </c>
      <c r="E19" s="29">
        <f t="shared" si="0"/>
        <v>10.467099999999999</v>
      </c>
      <c r="F19" s="12">
        <v>1.526</v>
      </c>
      <c r="G19" s="25"/>
      <c r="H19">
        <v>-2.1569700000000001E-5</v>
      </c>
      <c r="I19">
        <v>2.0531999999999999E-4</v>
      </c>
      <c r="J19">
        <f>-9.20373*10^-6</f>
        <v>-9.2037300000000001E-6</v>
      </c>
      <c r="K19">
        <f t="shared" si="1"/>
        <v>9.2037300000000001E-6</v>
      </c>
      <c r="L19">
        <f t="shared" si="2"/>
        <v>2.268897E-4</v>
      </c>
      <c r="M19">
        <v>2.2688999999999999E-4</v>
      </c>
      <c r="N19">
        <v>0.99687700000000001</v>
      </c>
    </row>
    <row r="20" spans="1:14" x14ac:dyDescent="0.25">
      <c r="A20" s="22">
        <v>662</v>
      </c>
      <c r="B20" s="22">
        <v>0.15586</v>
      </c>
      <c r="C20" s="22">
        <v>18.606100000000001</v>
      </c>
      <c r="D20" s="24">
        <v>9.82</v>
      </c>
      <c r="E20" s="29">
        <f t="shared" si="0"/>
        <v>8.7861000000000011</v>
      </c>
      <c r="F20" s="12">
        <v>1.5249999999999999</v>
      </c>
      <c r="G20" s="25"/>
      <c r="H20">
        <v>-8.8134999999999996E-5</v>
      </c>
      <c r="I20">
        <v>1.05633E-4</v>
      </c>
      <c r="J20">
        <f>-4.84099*10^-6</f>
        <v>-4.8409899999999992E-6</v>
      </c>
      <c r="K20">
        <f t="shared" si="1"/>
        <v>4.8409899999999992E-6</v>
      </c>
      <c r="L20">
        <f t="shared" si="2"/>
        <v>1.9376799999999998E-4</v>
      </c>
      <c r="M20">
        <v>1.9376800000000001E-4</v>
      </c>
      <c r="N20">
        <v>0.99639999999999995</v>
      </c>
    </row>
    <row r="21" spans="1:14" x14ac:dyDescent="0.25">
      <c r="A21" s="22">
        <v>932</v>
      </c>
      <c r="B21" s="22">
        <v>0.138512</v>
      </c>
      <c r="C21" s="22">
        <v>18.941400000000002</v>
      </c>
      <c r="D21" s="24">
        <v>9.5399999999999991</v>
      </c>
      <c r="E21" s="29">
        <f t="shared" si="0"/>
        <v>9.4014000000000024</v>
      </c>
      <c r="F21" s="12">
        <v>1.532</v>
      </c>
      <c r="G21" s="25" t="s">
        <v>30</v>
      </c>
      <c r="H21">
        <f>-1.80928*10^-6</f>
        <v>-1.8092799999999999E-6</v>
      </c>
      <c r="I21">
        <v>1.7962300000000001E-4</v>
      </c>
      <c r="J21">
        <f>-6.97223*10^-6</f>
        <v>-6.9722299999999995E-6</v>
      </c>
      <c r="K21">
        <f t="shared" si="1"/>
        <v>6.9722299999999995E-6</v>
      </c>
      <c r="L21">
        <f t="shared" si="2"/>
        <v>1.8143228E-4</v>
      </c>
      <c r="M21">
        <v>1.81433E-4</v>
      </c>
      <c r="N21">
        <v>0.99493100000000001</v>
      </c>
    </row>
    <row r="22" spans="1:14" x14ac:dyDescent="0.25">
      <c r="A22" s="22">
        <v>967</v>
      </c>
      <c r="B22" s="25">
        <v>0.166827</v>
      </c>
      <c r="C22" s="22">
        <v>19.2042</v>
      </c>
      <c r="D22" s="24">
        <v>10.07</v>
      </c>
      <c r="E22" s="29">
        <f t="shared" si="0"/>
        <v>9.1341999999999999</v>
      </c>
      <c r="F22" s="12">
        <v>1.532</v>
      </c>
      <c r="G22" s="25" t="s">
        <v>30</v>
      </c>
      <c r="H22">
        <v>-1.14751E-4</v>
      </c>
      <c r="I22">
        <v>8.8715999999999996E-5</v>
      </c>
      <c r="J22">
        <f>-3.44358*10^-6</f>
        <v>-3.4435799999999998E-6</v>
      </c>
      <c r="K22">
        <f t="shared" si="1"/>
        <v>3.4435799999999998E-6</v>
      </c>
      <c r="L22">
        <f t="shared" si="2"/>
        <v>2.0346699999999998E-4</v>
      </c>
      <c r="M22">
        <v>2.0346700000000001E-4</v>
      </c>
      <c r="N22">
        <v>0.99475100000000005</v>
      </c>
    </row>
    <row r="23" spans="1:14" x14ac:dyDescent="0.25">
      <c r="A23" s="22">
        <v>1041</v>
      </c>
      <c r="B23" s="25">
        <v>0.16153899999999999</v>
      </c>
      <c r="C23" s="22">
        <v>18.941400000000002</v>
      </c>
      <c r="D23" s="24">
        <v>10.93</v>
      </c>
      <c r="E23" s="29">
        <f t="shared" si="0"/>
        <v>8.0114000000000019</v>
      </c>
      <c r="F23" s="25">
        <v>1.5289999999999999</v>
      </c>
      <c r="G23" s="25" t="s">
        <v>30</v>
      </c>
      <c r="H23">
        <v>-9.37368E-5</v>
      </c>
      <c r="I23">
        <v>8.9974200000000003E-5</v>
      </c>
      <c r="J23">
        <f>-3.76278*10^-6</f>
        <v>-3.7627799999999997E-6</v>
      </c>
      <c r="K23">
        <f t="shared" si="1"/>
        <v>3.7627799999999997E-6</v>
      </c>
      <c r="L23">
        <f t="shared" si="2"/>
        <v>1.83711E-4</v>
      </c>
      <c r="M23">
        <v>1.83711E-4</v>
      </c>
      <c r="N23">
        <v>0.99668400000000001</v>
      </c>
    </row>
    <row r="24" spans="1:14" x14ac:dyDescent="0.25">
      <c r="A24" s="22">
        <v>1114</v>
      </c>
      <c r="B24" s="25">
        <v>0.142897</v>
      </c>
      <c r="C24" s="22">
        <v>15.3422</v>
      </c>
      <c r="D24" s="24">
        <v>9.6999999999999993</v>
      </c>
      <c r="E24" s="29">
        <f t="shared" si="0"/>
        <v>5.6422000000000008</v>
      </c>
      <c r="F24" s="25">
        <v>1.5069999999999999</v>
      </c>
      <c r="G24" s="25"/>
      <c r="H24" s="8">
        <v>5.4858300000000003E-5</v>
      </c>
      <c r="I24">
        <v>1.8724900000000001E-4</v>
      </c>
      <c r="J24">
        <v>-1.1962E-5</v>
      </c>
      <c r="K24">
        <f t="shared" si="1"/>
        <v>1.1962E-5</v>
      </c>
      <c r="L24">
        <f t="shared" si="2"/>
        <v>1.3239069999999999E-4</v>
      </c>
      <c r="M24">
        <v>1.3239099999999999E-4</v>
      </c>
      <c r="N24">
        <v>0.99669799999999997</v>
      </c>
    </row>
    <row r="25" spans="1:14" ht="15.75" thickBot="1" x14ac:dyDescent="0.3">
      <c r="A25" s="70">
        <v>1139</v>
      </c>
      <c r="B25" s="58">
        <v>0.212695</v>
      </c>
      <c r="C25" s="70">
        <v>14.552099999999999</v>
      </c>
      <c r="D25" s="71">
        <v>9.57</v>
      </c>
      <c r="E25" s="93">
        <f t="shared" si="0"/>
        <v>4.9820999999999991</v>
      </c>
      <c r="F25" s="58">
        <v>1.5169999999999999</v>
      </c>
      <c r="G25" s="58"/>
      <c r="H25">
        <v>-5.9482899999999999E-5</v>
      </c>
      <c r="I25">
        <v>6.0325799999999998E-5</v>
      </c>
      <c r="J25">
        <f>-3.24844*10^-6</f>
        <v>-3.2484399999999999E-6</v>
      </c>
      <c r="K25">
        <f t="shared" si="1"/>
        <v>3.2484399999999999E-6</v>
      </c>
      <c r="L25">
        <f t="shared" si="2"/>
        <v>1.198087E-4</v>
      </c>
      <c r="M25">
        <v>1.19809E-4</v>
      </c>
      <c r="N25">
        <v>0.996058</v>
      </c>
    </row>
    <row r="26" spans="1:14" x14ac:dyDescent="0.25">
      <c r="A26" s="63" t="s">
        <v>6</v>
      </c>
      <c r="B26" s="94">
        <f>AVERAGE(B3:B8,B10,B12:B15,B18:B23,B25)</f>
        <v>0.14593335555555559</v>
      </c>
      <c r="C26" s="94">
        <f t="shared" ref="C26:F26" si="3">AVERAGE(C3:C8,C10,C12:C15,C18:C23,C25)</f>
        <v>20.741944444444446</v>
      </c>
      <c r="D26" s="94">
        <f t="shared" si="3"/>
        <v>10.772222222222219</v>
      </c>
      <c r="E26" s="94">
        <f t="shared" si="3"/>
        <v>9.9697222222222219</v>
      </c>
      <c r="F26" s="94">
        <f t="shared" si="3"/>
        <v>1.5251111111111109</v>
      </c>
      <c r="G26" s="94" t="s">
        <v>52</v>
      </c>
      <c r="H26" s="96">
        <f>AVERAGE(H3:H8,H10,H12:H15,H18:H23,H25)</f>
        <v>-9.2762321111111094E-5</v>
      </c>
      <c r="I26" s="94">
        <f t="shared" ref="I26:N26" si="4">AVERAGE(I3:I8,I10,I12:I15,I18:I23,I25)</f>
        <v>1.2212793333333334E-4</v>
      </c>
      <c r="J26" s="94">
        <f t="shared" si="4"/>
        <v>-5.589671666666667E-6</v>
      </c>
      <c r="K26" s="94">
        <f t="shared" si="4"/>
        <v>5.589671666666667E-6</v>
      </c>
      <c r="L26" s="94">
        <f t="shared" si="4"/>
        <v>2.1489025444444446E-4</v>
      </c>
      <c r="M26" s="94">
        <f>-AVERAGE(M3:M8,M10,M12:M15,M18:M23,M25)</f>
        <v>-2.1489033333333335E-4</v>
      </c>
      <c r="N26" s="92">
        <f t="shared" si="4"/>
        <v>0.99592655555555565</v>
      </c>
    </row>
    <row r="27" spans="1:14" ht="15.75" thickBot="1" x14ac:dyDescent="0.3">
      <c r="A27" s="46" t="s">
        <v>7</v>
      </c>
      <c r="B27" s="47">
        <f>_xlfn.STDEV.P(B3:B8,B10,B12:B15,B18:B23,B25)</f>
        <v>2.9800491842216552E-2</v>
      </c>
      <c r="C27" s="47">
        <f t="shared" ref="C27:F27" si="5">_xlfn.STDEV.P(C3:C8,C10,C12:C15,C18:C23,C25)</f>
        <v>3.8880714728544783</v>
      </c>
      <c r="D27" s="47">
        <f t="shared" si="5"/>
        <v>2.5919309737798919</v>
      </c>
      <c r="E27" s="47">
        <f t="shared" si="5"/>
        <v>3.3830870737235075</v>
      </c>
      <c r="F27" s="47">
        <f t="shared" si="5"/>
        <v>9.9044820880295672E-3</v>
      </c>
      <c r="G27" s="47" t="s">
        <v>53</v>
      </c>
      <c r="H27" s="47">
        <f>_xlfn.STDEV.P(H3:H8,H10,H12:H15,H18:H23,H25)</f>
        <v>6.2031734355602372E-5</v>
      </c>
      <c r="I27" s="47">
        <f t="shared" ref="I27:N27" si="6">_xlfn.STDEV.P(I3:I8,I10,I12:I15,I18:I23,I25)</f>
        <v>5.1284019487111624E-5</v>
      </c>
      <c r="J27" s="47">
        <f t="shared" si="6"/>
        <v>2.6958920646034156E-6</v>
      </c>
      <c r="K27" s="47">
        <f t="shared" si="6"/>
        <v>2.6958920646034156E-6</v>
      </c>
      <c r="L27" s="47">
        <f t="shared" si="6"/>
        <v>6.8806518783237009E-5</v>
      </c>
      <c r="M27" s="47">
        <f t="shared" si="6"/>
        <v>6.8806414390907864E-5</v>
      </c>
      <c r="N27" s="95">
        <f t="shared" si="6"/>
        <v>2.37313220641746E-3</v>
      </c>
    </row>
    <row r="28" spans="1:14" x14ac:dyDescent="0.25">
      <c r="A28" s="43" t="s">
        <v>8</v>
      </c>
      <c r="B28" s="44">
        <f>B26+B27</f>
        <v>0.17573384739777215</v>
      </c>
      <c r="C28" s="42"/>
      <c r="D28" s="42"/>
      <c r="E28" s="42"/>
      <c r="F28" s="42"/>
      <c r="G28" s="42"/>
      <c r="L28">
        <f>-ABS(H25)+ABS(I25)</f>
        <v>8.4289999999999832E-7</v>
      </c>
    </row>
    <row r="29" spans="1:14" ht="15.75" thickBot="1" x14ac:dyDescent="0.3">
      <c r="A29" s="46" t="s">
        <v>9</v>
      </c>
      <c r="B29" s="47">
        <f>B26-B27</f>
        <v>0.11613286371333903</v>
      </c>
      <c r="C29" s="42"/>
      <c r="D29" s="42"/>
      <c r="E29" s="42"/>
      <c r="F29" s="42"/>
      <c r="G29" s="42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O14" sqref="O14"/>
    </sheetView>
  </sheetViews>
  <sheetFormatPr defaultRowHeight="15" x14ac:dyDescent="0.25"/>
  <cols>
    <col min="1" max="1" width="8.85546875" customWidth="1"/>
    <col min="2" max="3" width="9.85546875" bestFit="1" customWidth="1"/>
    <col min="4" max="4" width="7.5703125" bestFit="1" customWidth="1"/>
    <col min="5" max="6" width="6.42578125" bestFit="1" customWidth="1"/>
    <col min="7" max="7" width="7.5703125" bestFit="1" customWidth="1"/>
    <col min="8" max="10" width="6.42578125" bestFit="1" customWidth="1"/>
    <col min="11" max="11" width="12" bestFit="1" customWidth="1"/>
    <col min="12" max="12" width="10" bestFit="1" customWidth="1"/>
  </cols>
  <sheetData>
    <row r="1" spans="1:22" x14ac:dyDescent="0.25">
      <c r="A1" t="s">
        <v>131</v>
      </c>
    </row>
    <row r="3" spans="1:22" x14ac:dyDescent="0.25">
      <c r="A3" t="s">
        <v>132</v>
      </c>
    </row>
    <row r="4" spans="1:22" x14ac:dyDescent="0.25">
      <c r="A4" s="162" t="s">
        <v>133</v>
      </c>
    </row>
    <row r="5" spans="1:22" ht="15.75" thickBot="1" x14ac:dyDescent="0.3">
      <c r="L5" s="163"/>
      <c r="M5" s="163"/>
      <c r="N5" s="163"/>
      <c r="O5" s="162"/>
      <c r="P5" s="162"/>
      <c r="Q5" s="162"/>
      <c r="R5" s="162"/>
    </row>
    <row r="6" spans="1:22" ht="21" x14ac:dyDescent="0.35">
      <c r="A6" s="203" t="s">
        <v>134</v>
      </c>
      <c r="B6" s="204"/>
      <c r="C6" s="204"/>
      <c r="D6" s="204"/>
      <c r="E6" s="204"/>
      <c r="F6" s="204"/>
      <c r="G6" s="204"/>
      <c r="H6" s="204"/>
      <c r="I6" s="205"/>
      <c r="K6" s="38" t="s">
        <v>144</v>
      </c>
      <c r="L6" s="60">
        <f>L7/(L8*L9)</f>
        <v>0.61956061720658628</v>
      </c>
    </row>
    <row r="7" spans="1:22" ht="21" x14ac:dyDescent="0.25">
      <c r="A7" s="89"/>
      <c r="B7" s="206" t="s">
        <v>14</v>
      </c>
      <c r="C7" s="207"/>
      <c r="D7" s="207"/>
      <c r="E7" s="207"/>
      <c r="F7" s="207"/>
      <c r="G7" s="207"/>
      <c r="H7" s="207"/>
      <c r="I7" s="208"/>
      <c r="K7" s="89" t="s">
        <v>146</v>
      </c>
      <c r="L7" s="174">
        <v>0.42637000000000003</v>
      </c>
    </row>
    <row r="8" spans="1:22" ht="21" x14ac:dyDescent="0.25">
      <c r="A8" s="164" t="s">
        <v>67</v>
      </c>
      <c r="B8" s="165">
        <v>10</v>
      </c>
      <c r="C8" s="165">
        <v>15</v>
      </c>
      <c r="D8" s="165">
        <v>20</v>
      </c>
      <c r="E8" s="165">
        <v>25</v>
      </c>
      <c r="F8" s="165">
        <v>30</v>
      </c>
      <c r="G8" s="165">
        <v>40</v>
      </c>
      <c r="H8" s="165">
        <v>50</v>
      </c>
      <c r="I8" s="166">
        <v>60</v>
      </c>
      <c r="K8" s="89" t="s">
        <v>147</v>
      </c>
      <c r="L8" s="175">
        <v>11010.9</v>
      </c>
    </row>
    <row r="9" spans="1:22" ht="16.5" thickBot="1" x14ac:dyDescent="0.3">
      <c r="A9" s="167">
        <v>0.25</v>
      </c>
      <c r="B9" s="168" t="s">
        <v>149</v>
      </c>
      <c r="C9" s="176" t="s">
        <v>150</v>
      </c>
      <c r="D9" s="169"/>
      <c r="E9" s="169"/>
      <c r="F9" s="169"/>
      <c r="G9" s="169"/>
      <c r="H9" s="169"/>
      <c r="I9" s="170"/>
      <c r="K9" s="91" t="s">
        <v>148</v>
      </c>
      <c r="L9" s="95">
        <f>62.5*10^-6</f>
        <v>6.2500000000000001E-5</v>
      </c>
    </row>
    <row r="10" spans="1:22" ht="21.75" thickBot="1" x14ac:dyDescent="0.4">
      <c r="A10" s="167">
        <v>0.2</v>
      </c>
      <c r="B10" s="168" t="s">
        <v>135</v>
      </c>
      <c r="C10" s="176" t="s">
        <v>151</v>
      </c>
      <c r="D10" s="176" t="s">
        <v>136</v>
      </c>
      <c r="E10" s="169"/>
      <c r="F10" s="169"/>
      <c r="G10" s="169"/>
      <c r="H10" s="169"/>
      <c r="I10" s="170"/>
      <c r="O10" s="200" t="s">
        <v>134</v>
      </c>
      <c r="P10" s="201"/>
      <c r="Q10" s="201"/>
      <c r="R10" s="201"/>
      <c r="S10" s="201"/>
      <c r="T10" s="201"/>
      <c r="U10" s="201"/>
      <c r="V10" s="202"/>
    </row>
    <row r="11" spans="1:22" ht="21" x14ac:dyDescent="0.25">
      <c r="A11" s="167">
        <v>0.15</v>
      </c>
      <c r="B11" s="168" t="s">
        <v>137</v>
      </c>
      <c r="C11" s="168" t="s">
        <v>152</v>
      </c>
      <c r="D11" s="168" t="s">
        <v>138</v>
      </c>
      <c r="E11" s="176" t="s">
        <v>155</v>
      </c>
      <c r="F11" s="168" t="s">
        <v>159</v>
      </c>
      <c r="G11" s="169"/>
      <c r="H11" s="169"/>
      <c r="I11" s="170"/>
      <c r="K11" t="s">
        <v>145</v>
      </c>
      <c r="O11" s="197" t="s">
        <v>14</v>
      </c>
      <c r="P11" s="198"/>
      <c r="Q11" s="198"/>
      <c r="R11" s="198"/>
      <c r="S11" s="198"/>
      <c r="T11" s="198"/>
      <c r="U11" s="198"/>
      <c r="V11" s="199"/>
    </row>
    <row r="12" spans="1:22" ht="16.5" thickBot="1" x14ac:dyDescent="0.3">
      <c r="A12" s="167">
        <v>0.1</v>
      </c>
      <c r="B12" s="168" t="s">
        <v>139</v>
      </c>
      <c r="C12" s="168" t="s">
        <v>153</v>
      </c>
      <c r="D12" s="168" t="s">
        <v>140</v>
      </c>
      <c r="E12" s="168" t="s">
        <v>157</v>
      </c>
      <c r="F12" s="176" t="s">
        <v>156</v>
      </c>
      <c r="G12" s="176" t="s">
        <v>161</v>
      </c>
      <c r="H12" s="169"/>
      <c r="I12" s="170"/>
      <c r="O12" s="171">
        <v>10</v>
      </c>
      <c r="P12" s="184">
        <v>15</v>
      </c>
      <c r="Q12" s="184">
        <v>20</v>
      </c>
      <c r="R12" s="184">
        <v>25</v>
      </c>
      <c r="S12" s="184">
        <v>30</v>
      </c>
      <c r="T12" s="184">
        <v>40</v>
      </c>
      <c r="U12" s="184">
        <v>50</v>
      </c>
      <c r="V12" s="185">
        <v>60</v>
      </c>
    </row>
    <row r="13" spans="1:22" ht="16.5" thickBot="1" x14ac:dyDescent="0.3">
      <c r="A13" s="171">
        <v>0.05</v>
      </c>
      <c r="B13" s="172" t="s">
        <v>141</v>
      </c>
      <c r="C13" s="172" t="s">
        <v>154</v>
      </c>
      <c r="D13" s="172" t="s">
        <v>142</v>
      </c>
      <c r="E13" s="172" t="s">
        <v>158</v>
      </c>
      <c r="F13" s="172" t="s">
        <v>160</v>
      </c>
      <c r="G13" s="172" t="s">
        <v>135</v>
      </c>
      <c r="H13" s="177" t="s">
        <v>162</v>
      </c>
      <c r="I13" s="173" t="s">
        <v>143</v>
      </c>
      <c r="M13" s="194" t="s">
        <v>67</v>
      </c>
      <c r="N13" s="186">
        <v>0.25</v>
      </c>
      <c r="O13" s="181" t="s">
        <v>149</v>
      </c>
      <c r="P13" s="178" t="s">
        <v>150</v>
      </c>
      <c r="Q13" s="179"/>
      <c r="R13" s="179"/>
      <c r="S13" s="179"/>
      <c r="T13" s="179"/>
      <c r="U13" s="179"/>
      <c r="V13" s="180"/>
    </row>
    <row r="14" spans="1:22" ht="15.75" x14ac:dyDescent="0.25">
      <c r="M14" s="195"/>
      <c r="N14" s="166">
        <v>0.2</v>
      </c>
      <c r="O14" s="182" t="s">
        <v>135</v>
      </c>
      <c r="P14" s="176" t="s">
        <v>151</v>
      </c>
      <c r="Q14" s="176" t="s">
        <v>136</v>
      </c>
      <c r="R14" s="169"/>
      <c r="S14" s="169"/>
      <c r="T14" s="169"/>
      <c r="U14" s="169"/>
      <c r="V14" s="170"/>
    </row>
    <row r="15" spans="1:22" ht="15.75" x14ac:dyDescent="0.25">
      <c r="M15" s="195"/>
      <c r="N15" s="166">
        <v>0.15</v>
      </c>
      <c r="O15" s="182" t="s">
        <v>137</v>
      </c>
      <c r="P15" s="168" t="s">
        <v>152</v>
      </c>
      <c r="Q15" s="168" t="s">
        <v>138</v>
      </c>
      <c r="R15" s="176" t="s">
        <v>155</v>
      </c>
      <c r="S15" s="168" t="s">
        <v>159</v>
      </c>
      <c r="T15" s="169"/>
      <c r="U15" s="169"/>
      <c r="V15" s="170"/>
    </row>
    <row r="16" spans="1:22" ht="15.75" x14ac:dyDescent="0.25">
      <c r="M16" s="195"/>
      <c r="N16" s="166">
        <v>0.1</v>
      </c>
      <c r="O16" s="182" t="s">
        <v>139</v>
      </c>
      <c r="P16" s="168" t="s">
        <v>153</v>
      </c>
      <c r="Q16" s="168" t="s">
        <v>140</v>
      </c>
      <c r="R16" s="168" t="s">
        <v>157</v>
      </c>
      <c r="S16" s="176" t="s">
        <v>156</v>
      </c>
      <c r="T16" s="176" t="s">
        <v>161</v>
      </c>
      <c r="U16" s="169"/>
      <c r="V16" s="170"/>
    </row>
    <row r="17" spans="13:22" ht="16.5" thickBot="1" x14ac:dyDescent="0.3">
      <c r="M17" s="196"/>
      <c r="N17" s="185">
        <v>0.05</v>
      </c>
      <c r="O17" s="183" t="s">
        <v>141</v>
      </c>
      <c r="P17" s="172" t="s">
        <v>154</v>
      </c>
      <c r="Q17" s="172" t="s">
        <v>142</v>
      </c>
      <c r="R17" s="172" t="s">
        <v>158</v>
      </c>
      <c r="S17" s="172" t="s">
        <v>160</v>
      </c>
      <c r="T17" s="172" t="s">
        <v>135</v>
      </c>
      <c r="U17" s="177" t="s">
        <v>162</v>
      </c>
      <c r="V17" s="173" t="s">
        <v>143</v>
      </c>
    </row>
  </sheetData>
  <mergeCells count="5">
    <mergeCell ref="M13:M17"/>
    <mergeCell ref="O11:V11"/>
    <mergeCell ref="O10:V10"/>
    <mergeCell ref="A6:I6"/>
    <mergeCell ref="B7:I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N22"/>
  <sheetViews>
    <sheetView workbookViewId="0">
      <selection activeCell="K31" sqref="K31"/>
    </sheetView>
  </sheetViews>
  <sheetFormatPr defaultRowHeight="15" x14ac:dyDescent="0.25"/>
  <cols>
    <col min="1" max="1" width="12.7109375" bestFit="1" customWidth="1"/>
    <col min="2" max="2" width="12" bestFit="1" customWidth="1"/>
    <col min="3" max="3" width="14.140625" bestFit="1" customWidth="1"/>
    <col min="4" max="5" width="12" bestFit="1" customWidth="1"/>
    <col min="6" max="6" width="11.140625" bestFit="1" customWidth="1"/>
    <col min="7" max="7" width="5.5703125" customWidth="1"/>
    <col min="8" max="8" width="12.7109375" bestFit="1" customWidth="1"/>
    <col min="9" max="10" width="12.140625" bestFit="1" customWidth="1"/>
    <col min="11" max="11" width="12.85546875" bestFit="1" customWidth="1"/>
    <col min="12" max="13" width="11.28515625" bestFit="1" customWidth="1"/>
    <col min="14" max="14" width="10.5703125" bestFit="1" customWidth="1"/>
  </cols>
  <sheetData>
    <row r="1" spans="1:14" ht="15.75" thickBot="1" x14ac:dyDescent="0.3"/>
    <row r="2" spans="1:14" ht="15.75" thickBot="1" x14ac:dyDescent="0.3">
      <c r="A2" s="209" t="s">
        <v>17</v>
      </c>
      <c r="B2" s="210"/>
      <c r="C2" s="210"/>
      <c r="D2" s="210"/>
      <c r="E2" s="210"/>
      <c r="F2" s="211"/>
    </row>
    <row r="3" spans="1:14" ht="45" x14ac:dyDescent="0.25">
      <c r="A3" s="31" t="s">
        <v>1</v>
      </c>
      <c r="B3" s="32" t="s">
        <v>2</v>
      </c>
      <c r="C3" s="33" t="s">
        <v>16</v>
      </c>
      <c r="D3" s="33" t="s">
        <v>3</v>
      </c>
      <c r="E3" s="33" t="s">
        <v>44</v>
      </c>
      <c r="F3" s="34" t="s">
        <v>4</v>
      </c>
      <c r="G3" s="4" t="s">
        <v>5</v>
      </c>
      <c r="H3" s="3" t="s">
        <v>37</v>
      </c>
      <c r="I3" s="50" t="s">
        <v>39</v>
      </c>
      <c r="J3" s="50" t="s">
        <v>41</v>
      </c>
      <c r="K3" s="50" t="s">
        <v>38</v>
      </c>
      <c r="L3" s="3" t="s">
        <v>42</v>
      </c>
      <c r="M3" s="3" t="s">
        <v>40</v>
      </c>
      <c r="N3" s="50" t="s">
        <v>43</v>
      </c>
    </row>
    <row r="4" spans="1:14" x14ac:dyDescent="0.25">
      <c r="A4" s="10">
        <v>93</v>
      </c>
      <c r="B4" s="10">
        <v>0.17974499999999999</v>
      </c>
      <c r="C4" s="35">
        <v>18.0304</v>
      </c>
      <c r="D4" s="35">
        <v>5.59</v>
      </c>
      <c r="E4" s="35">
        <f>C4-D4</f>
        <v>12.4404</v>
      </c>
      <c r="F4" s="13">
        <v>1.4930000000000001</v>
      </c>
      <c r="G4" s="13"/>
      <c r="H4">
        <v>1.7211400000000001E-4</v>
      </c>
      <c r="I4">
        <v>-8.6444299999999995E-5</v>
      </c>
      <c r="J4">
        <f>-6.73865*10^-6</f>
        <v>-6.7386499999999994E-6</v>
      </c>
      <c r="K4">
        <f>-J4</f>
        <v>6.7386499999999994E-6</v>
      </c>
      <c r="L4">
        <v>-2.5855799999999999E-4</v>
      </c>
      <c r="M4">
        <v>-2.5855799999999999E-4</v>
      </c>
      <c r="N4">
        <v>0.998363</v>
      </c>
    </row>
    <row r="5" spans="1:14" x14ac:dyDescent="0.25">
      <c r="A5" s="10">
        <v>96</v>
      </c>
      <c r="B5" s="10">
        <v>0.184505</v>
      </c>
      <c r="C5" s="36">
        <v>17.746400000000001</v>
      </c>
      <c r="D5" s="36">
        <v>5.64</v>
      </c>
      <c r="E5" s="35">
        <f t="shared" ref="E5:E18" si="0">C5-D5</f>
        <v>12.106400000000001</v>
      </c>
      <c r="F5" s="13">
        <v>1.4850000000000001</v>
      </c>
      <c r="G5" s="13"/>
      <c r="H5">
        <v>1.79395E-4</v>
      </c>
      <c r="I5">
        <v>-8.2140100000000003E-5</v>
      </c>
      <c r="J5">
        <f>-7.06467*10^-6</f>
        <v>-7.0646699999999991E-6</v>
      </c>
      <c r="K5">
        <f t="shared" ref="K5:K18" si="1">-J5</f>
        <v>7.0646699999999991E-6</v>
      </c>
      <c r="L5">
        <v>-2.6153500000000002E-4</v>
      </c>
      <c r="M5">
        <v>-2.6153500000000002E-4</v>
      </c>
      <c r="N5">
        <v>0.99890699999999999</v>
      </c>
    </row>
    <row r="6" spans="1:14" x14ac:dyDescent="0.25">
      <c r="A6" s="10">
        <v>103</v>
      </c>
      <c r="B6" s="10">
        <v>0.19008900000000001</v>
      </c>
      <c r="C6" s="36">
        <v>17.529599999999999</v>
      </c>
      <c r="D6" s="36">
        <v>5.79</v>
      </c>
      <c r="E6" s="35">
        <f t="shared" si="0"/>
        <v>11.739599999999999</v>
      </c>
      <c r="F6" s="13">
        <v>1.494</v>
      </c>
      <c r="G6" s="13"/>
      <c r="H6">
        <v>1.68524E-4</v>
      </c>
      <c r="I6">
        <v>-8.2519099999999994E-5</v>
      </c>
      <c r="J6">
        <f>-6.34965*10^-6</f>
        <v>-6.3496499999999994E-6</v>
      </c>
      <c r="K6">
        <f t="shared" si="1"/>
        <v>6.3496499999999994E-6</v>
      </c>
      <c r="L6">
        <v>-2.51043E-4</v>
      </c>
      <c r="M6">
        <v>-2.51043E-4</v>
      </c>
      <c r="N6">
        <v>0.99812100000000004</v>
      </c>
    </row>
    <row r="7" spans="1:14" x14ac:dyDescent="0.25">
      <c r="A7" s="10">
        <v>106</v>
      </c>
      <c r="B7" s="10">
        <v>0.18898100000000001</v>
      </c>
      <c r="C7" s="36">
        <v>17.288</v>
      </c>
      <c r="D7" s="36">
        <v>5.8</v>
      </c>
      <c r="E7" s="35">
        <f t="shared" si="0"/>
        <v>11.488</v>
      </c>
      <c r="F7" s="13">
        <v>1.4890000000000001</v>
      </c>
      <c r="G7" s="13"/>
      <c r="H7">
        <v>1.6641900000000001E-4</v>
      </c>
      <c r="I7">
        <v>-8.0137399999999996E-5</v>
      </c>
      <c r="J7">
        <f>-6.5696*10^-6</f>
        <v>-6.5695999999999997E-6</v>
      </c>
      <c r="K7">
        <f t="shared" si="1"/>
        <v>6.5695999999999997E-6</v>
      </c>
      <c r="L7">
        <v>-2.4655599999999999E-4</v>
      </c>
      <c r="M7">
        <v>-2.4655599999999999E-4</v>
      </c>
      <c r="N7">
        <v>0.99836800000000003</v>
      </c>
    </row>
    <row r="8" spans="1:14" x14ac:dyDescent="0.25">
      <c r="A8" s="10">
        <v>124</v>
      </c>
      <c r="B8" s="10">
        <v>0.20672399999999999</v>
      </c>
      <c r="C8" s="36">
        <v>17.533799999999999</v>
      </c>
      <c r="D8" s="36">
        <v>6.29</v>
      </c>
      <c r="E8" s="35">
        <f t="shared" si="0"/>
        <v>11.2438</v>
      </c>
      <c r="F8" s="13">
        <v>1.5069999999999999</v>
      </c>
      <c r="G8" s="13"/>
      <c r="H8">
        <v>1.73332E-4</v>
      </c>
      <c r="I8">
        <v>-8.1300599999999999E-5</v>
      </c>
      <c r="J8">
        <f>-5.19372*10^-6</f>
        <v>-5.1937199999999996E-6</v>
      </c>
      <c r="K8">
        <f t="shared" si="1"/>
        <v>5.1937199999999996E-6</v>
      </c>
      <c r="L8">
        <v>-2.5463299999999999E-4</v>
      </c>
      <c r="M8">
        <v>-2.5463299999999999E-4</v>
      </c>
      <c r="N8">
        <v>0.99777000000000005</v>
      </c>
    </row>
    <row r="9" spans="1:14" x14ac:dyDescent="0.25">
      <c r="A9" s="10">
        <v>130</v>
      </c>
      <c r="B9" s="10">
        <v>0.204906</v>
      </c>
      <c r="C9" s="36">
        <v>17.224399999999999</v>
      </c>
      <c r="D9" s="36">
        <v>6.32</v>
      </c>
      <c r="E9" s="35">
        <f t="shared" si="0"/>
        <v>10.904399999999999</v>
      </c>
      <c r="F9" s="13">
        <v>1.4870000000000001</v>
      </c>
      <c r="G9" s="13"/>
      <c r="H9">
        <v>1.8097999999999999E-4</v>
      </c>
      <c r="I9">
        <v>-7.5570700000000005E-5</v>
      </c>
      <c r="J9">
        <f>-6.34741*10^-6</f>
        <v>-6.3474099999999994E-6</v>
      </c>
      <c r="K9">
        <f t="shared" si="1"/>
        <v>6.3474099999999994E-6</v>
      </c>
      <c r="L9">
        <v>-2.5655099999999999E-4</v>
      </c>
      <c r="M9">
        <v>-2.5655099999999999E-4</v>
      </c>
      <c r="N9">
        <v>0.99902400000000002</v>
      </c>
    </row>
    <row r="10" spans="1:14" x14ac:dyDescent="0.25">
      <c r="A10" s="10">
        <v>134</v>
      </c>
      <c r="B10" s="10">
        <v>0.191945</v>
      </c>
      <c r="C10" s="36">
        <v>17.7057</v>
      </c>
      <c r="D10" s="36">
        <v>6.35</v>
      </c>
      <c r="E10" s="35">
        <f t="shared" si="0"/>
        <v>11.355700000000001</v>
      </c>
      <c r="F10" s="13">
        <v>1.476</v>
      </c>
      <c r="G10" s="13"/>
      <c r="H10">
        <v>1.9313199999999999E-4</v>
      </c>
      <c r="I10">
        <v>-7.4733800000000006E-5</v>
      </c>
      <c r="J10">
        <f>-7.10579*10^-6</f>
        <v>-7.1057899999999991E-6</v>
      </c>
      <c r="K10">
        <f t="shared" si="1"/>
        <v>7.1057899999999991E-6</v>
      </c>
      <c r="L10">
        <v>-2.6786600000000001E-4</v>
      </c>
      <c r="M10">
        <v>-2.6786600000000001E-4</v>
      </c>
      <c r="N10">
        <v>0.99770499999999995</v>
      </c>
    </row>
    <row r="11" spans="1:14" x14ac:dyDescent="0.25">
      <c r="A11" s="10">
        <v>214</v>
      </c>
      <c r="B11" s="10">
        <v>0.11032599999999999</v>
      </c>
      <c r="C11" s="36">
        <v>26.416699999999999</v>
      </c>
      <c r="D11" s="36">
        <v>13.25</v>
      </c>
      <c r="E11" s="35">
        <f t="shared" si="0"/>
        <v>13.166699999999999</v>
      </c>
      <c r="F11" s="13">
        <v>1.4570000000000001</v>
      </c>
      <c r="G11" s="13"/>
      <c r="H11">
        <v>3.8704599999999999E-4</v>
      </c>
      <c r="I11">
        <v>3.2459699999999997E-5</v>
      </c>
      <c r="J11">
        <f>3.70982*10^-6</f>
        <v>3.7098199999999997E-6</v>
      </c>
      <c r="K11">
        <f t="shared" si="1"/>
        <v>-3.7098199999999997E-6</v>
      </c>
      <c r="L11">
        <v>-3.5458700000000001E-4</v>
      </c>
      <c r="M11">
        <v>-3.5458700000000001E-4</v>
      </c>
      <c r="N11">
        <v>0.97504199999999996</v>
      </c>
    </row>
    <row r="12" spans="1:14" x14ac:dyDescent="0.25">
      <c r="A12" s="10">
        <v>249</v>
      </c>
      <c r="B12" s="10">
        <v>0.20361399999999999</v>
      </c>
      <c r="C12" s="36">
        <v>18.1768</v>
      </c>
      <c r="D12" s="36">
        <v>6.73</v>
      </c>
      <c r="E12" s="35">
        <f t="shared" si="0"/>
        <v>11.4468</v>
      </c>
      <c r="F12" s="13">
        <v>1.49</v>
      </c>
      <c r="G12" s="13"/>
      <c r="H12">
        <v>2.0394099999999999E-4</v>
      </c>
      <c r="I12">
        <v>-8.1611699999999997E-5</v>
      </c>
      <c r="J12">
        <f>-6.60831*10^-6</f>
        <v>-6.6083099999999998E-6</v>
      </c>
      <c r="K12">
        <f t="shared" si="1"/>
        <v>6.6083099999999998E-6</v>
      </c>
      <c r="L12">
        <v>-2.8555300000000002E-4</v>
      </c>
      <c r="M12">
        <v>-2.8555300000000002E-4</v>
      </c>
      <c r="N12">
        <v>0.98804000000000003</v>
      </c>
    </row>
    <row r="13" spans="1:14" x14ac:dyDescent="0.25">
      <c r="A13" s="10">
        <v>291</v>
      </c>
      <c r="B13" s="10">
        <v>0.20235900000000001</v>
      </c>
      <c r="C13" s="36">
        <v>18.472899999999999</v>
      </c>
      <c r="D13" s="36">
        <v>7.6</v>
      </c>
      <c r="E13" s="35">
        <f t="shared" si="0"/>
        <v>10.8729</v>
      </c>
      <c r="F13" s="13">
        <v>1.4910000000000001</v>
      </c>
      <c r="G13" s="13"/>
      <c r="H13">
        <v>2.03604E-4</v>
      </c>
      <c r="I13">
        <v>-7.45363E-5</v>
      </c>
      <c r="J13">
        <f>-5.96038*10^-6</f>
        <v>-5.9603799999999992E-6</v>
      </c>
      <c r="K13">
        <f t="shared" si="1"/>
        <v>5.9603799999999992E-6</v>
      </c>
      <c r="L13">
        <v>-2.7814000000000002E-4</v>
      </c>
      <c r="M13">
        <v>-2.7814000000000002E-4</v>
      </c>
      <c r="N13">
        <v>0.98051500000000003</v>
      </c>
    </row>
    <row r="14" spans="1:14" x14ac:dyDescent="0.25">
      <c r="A14" s="10">
        <v>333</v>
      </c>
      <c r="B14" s="10">
        <v>0.190945</v>
      </c>
      <c r="C14" s="36">
        <v>18.214200000000002</v>
      </c>
      <c r="D14" s="36">
        <v>7.65</v>
      </c>
      <c r="E14" s="35">
        <f t="shared" si="0"/>
        <v>10.564200000000001</v>
      </c>
      <c r="F14" s="13">
        <v>1.4930000000000001</v>
      </c>
      <c r="G14" s="13"/>
      <c r="H14">
        <v>1.80256E-4</v>
      </c>
      <c r="I14">
        <v>-7.0906699999999997E-5</v>
      </c>
      <c r="J14">
        <f>-5.52744*10^-6</f>
        <v>-5.5274400000000001E-6</v>
      </c>
      <c r="K14">
        <f t="shared" si="1"/>
        <v>5.5274400000000001E-6</v>
      </c>
      <c r="L14">
        <v>-2.5116199999999998E-4</v>
      </c>
      <c r="M14">
        <v>-2.5116199999999998E-4</v>
      </c>
      <c r="N14">
        <v>0.99836999999999998</v>
      </c>
    </row>
    <row r="15" spans="1:14" x14ac:dyDescent="0.25">
      <c r="A15" s="10">
        <v>375</v>
      </c>
      <c r="B15" s="10">
        <v>0.187892</v>
      </c>
      <c r="C15" s="36">
        <v>17.9452</v>
      </c>
      <c r="D15" s="36">
        <v>7.92</v>
      </c>
      <c r="E15" s="35">
        <f t="shared" si="0"/>
        <v>10.0252</v>
      </c>
      <c r="F15" s="13">
        <v>1.502</v>
      </c>
      <c r="G15" s="13"/>
      <c r="H15">
        <v>1.5846299999999999E-4</v>
      </c>
      <c r="I15">
        <v>-7.1497799999999998E-5</v>
      </c>
      <c r="J15">
        <f>-4.92656*10^-6</f>
        <v>-4.9265600000000001E-6</v>
      </c>
      <c r="K15">
        <f t="shared" si="1"/>
        <v>4.9265600000000001E-6</v>
      </c>
      <c r="L15">
        <v>-2.2996099999999999E-4</v>
      </c>
      <c r="M15">
        <v>-2.2996099999999999E-4</v>
      </c>
      <c r="N15">
        <v>0.99842500000000001</v>
      </c>
    </row>
    <row r="16" spans="1:14" x14ac:dyDescent="0.25">
      <c r="A16" s="10">
        <v>446</v>
      </c>
      <c r="B16" s="10">
        <v>0.20827399999999999</v>
      </c>
      <c r="C16" s="36">
        <v>17.486599999999999</v>
      </c>
      <c r="D16" s="36">
        <v>7.92</v>
      </c>
      <c r="E16" s="35">
        <f t="shared" si="0"/>
        <v>9.5665999999999993</v>
      </c>
      <c r="F16" s="13">
        <v>1.5049999999999999</v>
      </c>
      <c r="G16" s="13"/>
      <c r="H16">
        <v>1.64115E-4</v>
      </c>
      <c r="I16">
        <v>-6.5828500000000002E-5</v>
      </c>
      <c r="J16">
        <f>-4.33754*10^-6</f>
        <v>-4.3375399999999998E-6</v>
      </c>
      <c r="K16">
        <f t="shared" si="1"/>
        <v>4.3375399999999998E-6</v>
      </c>
      <c r="L16">
        <v>-2.29943E-4</v>
      </c>
      <c r="M16">
        <v>-2.29943E-4</v>
      </c>
      <c r="N16">
        <v>0.998197</v>
      </c>
    </row>
    <row r="17" spans="1:14" x14ac:dyDescent="0.25">
      <c r="A17" s="10">
        <v>585</v>
      </c>
      <c r="B17" s="10">
        <v>0.21180299999999999</v>
      </c>
      <c r="C17" s="36">
        <v>18.180599999999998</v>
      </c>
      <c r="D17" s="36">
        <v>8.61</v>
      </c>
      <c r="E17" s="35">
        <f t="shared" si="0"/>
        <v>9.5705999999999989</v>
      </c>
      <c r="F17" s="13">
        <v>1.4950000000000001</v>
      </c>
      <c r="G17" s="13"/>
      <c r="H17">
        <v>1.8936199999999999E-4</v>
      </c>
      <c r="I17">
        <v>-6.1097899999999997E-5</v>
      </c>
      <c r="J17">
        <f>-4.63989*10^-6</f>
        <v>-4.6398900000000004E-6</v>
      </c>
      <c r="K17">
        <f t="shared" si="1"/>
        <v>4.6398900000000004E-6</v>
      </c>
      <c r="L17">
        <v>-2.5045999999999998E-4</v>
      </c>
      <c r="M17">
        <v>-2.5045999999999998E-4</v>
      </c>
      <c r="N17">
        <v>0.99486600000000003</v>
      </c>
    </row>
    <row r="18" spans="1:14" ht="15.75" thickBot="1" x14ac:dyDescent="0.3">
      <c r="A18" s="37">
        <v>682</v>
      </c>
      <c r="B18" s="37">
        <v>0.22011800000000001</v>
      </c>
      <c r="C18" s="79">
        <v>17.7027</v>
      </c>
      <c r="D18" s="79">
        <v>8.8800000000000008</v>
      </c>
      <c r="E18" s="35">
        <f t="shared" si="0"/>
        <v>8.8226999999999993</v>
      </c>
      <c r="F18" s="75">
        <v>1.5</v>
      </c>
      <c r="G18" s="75"/>
      <c r="H18">
        <v>1.7459499999999999E-4</v>
      </c>
      <c r="I18">
        <v>-5.4923000000000003E-5</v>
      </c>
      <c r="J18">
        <f>-3.89485*10^-6</f>
        <v>-3.8948499999999996E-6</v>
      </c>
      <c r="K18">
        <f t="shared" si="1"/>
        <v>3.8948499999999996E-6</v>
      </c>
      <c r="L18">
        <v>-2.2951800000000001E-4</v>
      </c>
      <c r="M18">
        <v>-2.2951800000000001E-4</v>
      </c>
      <c r="N18">
        <v>0.99805500000000003</v>
      </c>
    </row>
    <row r="19" spans="1:14" x14ac:dyDescent="0.25">
      <c r="A19" s="38" t="s">
        <v>6</v>
      </c>
      <c r="B19" s="39">
        <f>AVERAGE(B4:B10,B12:B18)</f>
        <v>0.19799285714285711</v>
      </c>
      <c r="C19" s="80">
        <f>AVERAGE(C4:C18)</f>
        <v>18.376933333333334</v>
      </c>
      <c r="D19" s="80">
        <f>AVERAGE(D4:D18)</f>
        <v>7.3559999999999999</v>
      </c>
      <c r="E19" s="80">
        <f>AVERAGE(E4:E18)</f>
        <v>11.02093333333333</v>
      </c>
      <c r="F19" s="80">
        <f>AVERAGE(F4:F18)</f>
        <v>1.4909333333333334</v>
      </c>
      <c r="G19" s="39" t="s">
        <v>52</v>
      </c>
      <c r="H19" s="81">
        <f>-AVERAGE(H4:H18)</f>
        <v>-1.9301853333333332E-4</v>
      </c>
      <c r="I19" s="81">
        <f>-AVERAGE(I4:I18)</f>
        <v>6.7385880000000014E-5</v>
      </c>
      <c r="J19" s="81">
        <f t="shared" ref="J19:N19" si="2">AVERAGE(J4:J18)</f>
        <v>-5.1703093333333339E-6</v>
      </c>
      <c r="K19" s="81">
        <f t="shared" si="2"/>
        <v>5.1703093333333339E-6</v>
      </c>
      <c r="L19" s="81">
        <f t="shared" si="2"/>
        <v>-2.6040440000000002E-4</v>
      </c>
      <c r="M19" s="81">
        <f t="shared" si="2"/>
        <v>-2.6040440000000002E-4</v>
      </c>
      <c r="N19" s="82">
        <f t="shared" si="2"/>
        <v>0.99465119999999996</v>
      </c>
    </row>
    <row r="20" spans="1:14" ht="15.75" thickBot="1" x14ac:dyDescent="0.3">
      <c r="A20" s="18" t="s">
        <v>7</v>
      </c>
      <c r="B20" s="19">
        <f>_xlfn.STDEV.P(B4:B10,B12:B18)</f>
        <v>1.1362519934649448E-2</v>
      </c>
      <c r="C20" s="19">
        <f>_xlfn.STDEV.P(C4:C18)</f>
        <v>2.1771079583296284</v>
      </c>
      <c r="D20" s="19">
        <f>_xlfn.STDEV.P(D4:D18)</f>
        <v>1.896786053653216</v>
      </c>
      <c r="E20" s="83">
        <f>_xlfn.STDEV.P(E4:E18)</f>
        <v>1.1302370823071983</v>
      </c>
      <c r="F20" s="84">
        <f>_xlfn.STDEV.P(F4:F18)</f>
        <v>1.1902194008762478E-2</v>
      </c>
      <c r="G20" s="19" t="s">
        <v>53</v>
      </c>
      <c r="H20" s="85">
        <f>_xlfn.STDEV.P(H4:H18)</f>
        <v>5.3470119173069201E-5</v>
      </c>
      <c r="I20" s="85">
        <f t="shared" ref="I20:N20" si="3">_xlfn.STDEV.P(I4:I18)</f>
        <v>2.7971845963163263E-5</v>
      </c>
      <c r="J20" s="85">
        <f t="shared" si="3"/>
        <v>2.5673164920527859E-6</v>
      </c>
      <c r="K20" s="85">
        <f t="shared" si="3"/>
        <v>2.5673164920527859E-6</v>
      </c>
      <c r="L20" s="85">
        <f t="shared" si="3"/>
        <v>2.9662861904633102E-5</v>
      </c>
      <c r="M20" s="85">
        <f t="shared" si="3"/>
        <v>2.9662861904633102E-5</v>
      </c>
      <c r="N20" s="86">
        <f t="shared" si="3"/>
        <v>7.1937656638694268E-3</v>
      </c>
    </row>
    <row r="21" spans="1:14" x14ac:dyDescent="0.25">
      <c r="A21" s="16" t="s">
        <v>8</v>
      </c>
      <c r="B21" s="17">
        <f>B19+B20</f>
        <v>0.20935537707750657</v>
      </c>
    </row>
    <row r="22" spans="1:14" ht="15.75" thickBot="1" x14ac:dyDescent="0.3">
      <c r="A22" s="18" t="s">
        <v>9</v>
      </c>
      <c r="B22" s="19">
        <f>B19-B20</f>
        <v>0.18663033720820765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N34"/>
  <sheetViews>
    <sheetView workbookViewId="0">
      <selection activeCell="H37" sqref="H37"/>
    </sheetView>
  </sheetViews>
  <sheetFormatPr defaultRowHeight="15" x14ac:dyDescent="0.25"/>
  <cols>
    <col min="2" max="2" width="12" bestFit="1" customWidth="1"/>
    <col min="3" max="3" width="7" bestFit="1" customWidth="1"/>
    <col min="4" max="4" width="6.140625" bestFit="1" customWidth="1"/>
    <col min="5" max="5" width="6.140625" customWidth="1"/>
    <col min="6" max="6" width="12" bestFit="1" customWidth="1"/>
    <col min="7" max="7" width="12" customWidth="1"/>
    <col min="8" max="8" width="12" bestFit="1" customWidth="1"/>
    <col min="9" max="10" width="12.7109375" bestFit="1" customWidth="1"/>
    <col min="11" max="11" width="12" bestFit="1" customWidth="1"/>
    <col min="14" max="14" width="14.28515625" bestFit="1" customWidth="1"/>
  </cols>
  <sheetData>
    <row r="1" spans="1:14" ht="15.75" thickBot="1" x14ac:dyDescent="0.3"/>
    <row r="2" spans="1:14" x14ac:dyDescent="0.25">
      <c r="A2" s="212" t="s">
        <v>0</v>
      </c>
      <c r="B2" s="213"/>
      <c r="C2" s="213"/>
      <c r="D2" s="214"/>
      <c r="E2" s="51"/>
    </row>
    <row r="3" spans="1:14" ht="45" x14ac:dyDescent="0.25">
      <c r="A3" s="1" t="s">
        <v>1</v>
      </c>
      <c r="B3" s="2" t="s">
        <v>2</v>
      </c>
      <c r="C3" s="2" t="s">
        <v>3</v>
      </c>
      <c r="D3" s="3" t="s">
        <v>4</v>
      </c>
      <c r="E3" s="3" t="s">
        <v>14</v>
      </c>
      <c r="F3" s="4" t="s">
        <v>44</v>
      </c>
      <c r="G3" s="4" t="s">
        <v>5</v>
      </c>
      <c r="H3" s="3" t="s">
        <v>37</v>
      </c>
      <c r="I3" s="50" t="s">
        <v>39</v>
      </c>
      <c r="J3" s="50" t="s">
        <v>41</v>
      </c>
      <c r="K3" s="50" t="s">
        <v>38</v>
      </c>
      <c r="L3" s="3" t="s">
        <v>42</v>
      </c>
      <c r="M3" s="3" t="s">
        <v>40</v>
      </c>
      <c r="N3" s="50" t="s">
        <v>43</v>
      </c>
    </row>
    <row r="4" spans="1:14" x14ac:dyDescent="0.25">
      <c r="A4" s="5">
        <v>24</v>
      </c>
      <c r="B4" s="6">
        <v>0.13864299999999999</v>
      </c>
      <c r="C4" s="6">
        <v>6.06</v>
      </c>
      <c r="D4" s="7">
        <v>1.5980000000000001</v>
      </c>
      <c r="E4" s="7">
        <v>30.6387</v>
      </c>
      <c r="F4" s="20">
        <f t="shared" ref="F4:F30" si="0">E4-C4</f>
        <v>24.578700000000001</v>
      </c>
      <c r="G4" s="87"/>
      <c r="H4">
        <v>1.9120899999999999E-4</v>
      </c>
      <c r="I4">
        <f>-0.0000666951</f>
        <v>-6.6695100000000005E-5</v>
      </c>
      <c r="J4">
        <f>1.8148*10^-6</f>
        <v>1.8148E-6</v>
      </c>
      <c r="K4">
        <f>-1.8148*10^-6</f>
        <v>-1.8148E-6</v>
      </c>
      <c r="L4">
        <v>-2.5790399999999999E-4</v>
      </c>
      <c r="M4">
        <f>I4-H4</f>
        <v>-2.5790410000000002E-4</v>
      </c>
      <c r="N4">
        <v>0.99743199999999999</v>
      </c>
    </row>
    <row r="5" spans="1:14" x14ac:dyDescent="0.25">
      <c r="A5" s="5">
        <v>41</v>
      </c>
      <c r="B5" s="6">
        <v>0.120051</v>
      </c>
      <c r="C5" s="6">
        <v>7.52</v>
      </c>
      <c r="D5" s="7">
        <v>1.5940000000000001</v>
      </c>
      <c r="E5" s="7">
        <v>36.601399999999998</v>
      </c>
      <c r="F5" s="20">
        <f t="shared" si="0"/>
        <v>29.081399999999999</v>
      </c>
      <c r="G5" s="87"/>
      <c r="H5">
        <v>2.6803999999999999E-4</v>
      </c>
      <c r="I5">
        <v>-9.7155600000000002E-5</v>
      </c>
      <c r="J5">
        <f>2.25477*10^-6</f>
        <v>2.25477E-6</v>
      </c>
      <c r="K5">
        <f>-2.25477*10^-6</f>
        <v>-2.25477E-6</v>
      </c>
      <c r="L5">
        <v>-3.6519599999999998E-4</v>
      </c>
      <c r="M5">
        <v>-3.6519599999999998E-4</v>
      </c>
      <c r="N5">
        <v>0.99551999999999996</v>
      </c>
    </row>
    <row r="6" spans="1:14" x14ac:dyDescent="0.25">
      <c r="A6" s="5">
        <v>65</v>
      </c>
      <c r="B6" s="6">
        <v>0.12588299999999999</v>
      </c>
      <c r="C6" s="6">
        <v>6.79</v>
      </c>
      <c r="D6" s="7">
        <v>1.5760000000000001</v>
      </c>
      <c r="E6" s="7">
        <v>32.026200000000003</v>
      </c>
      <c r="F6" s="20">
        <f t="shared" si="0"/>
        <v>25.236200000000004</v>
      </c>
      <c r="G6" s="87"/>
      <c r="H6">
        <v>2.4880600000000002E-4</v>
      </c>
      <c r="I6">
        <v>-1.2325899999999999E-4</v>
      </c>
      <c r="J6">
        <f>6.41405*10^-7</f>
        <v>6.4140499999999994E-7</v>
      </c>
      <c r="K6">
        <f>6.41405*10^-7</f>
        <v>6.4140499999999994E-7</v>
      </c>
      <c r="L6">
        <v>-3.7206499999999998E-4</v>
      </c>
      <c r="M6">
        <v>-3.7206499999999998E-4</v>
      </c>
      <c r="N6">
        <v>0.99646400000000002</v>
      </c>
    </row>
    <row r="7" spans="1:14" x14ac:dyDescent="0.25">
      <c r="A7" s="10">
        <v>103</v>
      </c>
      <c r="B7" s="10">
        <v>0.11634700000000001</v>
      </c>
      <c r="C7" s="11">
        <v>6.17</v>
      </c>
      <c r="D7" s="12">
        <v>1.581</v>
      </c>
      <c r="E7" s="12">
        <v>31.9709</v>
      </c>
      <c r="F7" s="20">
        <f t="shared" si="0"/>
        <v>25.800899999999999</v>
      </c>
      <c r="G7" s="87"/>
      <c r="H7">
        <v>1.7279900000000001E-4</v>
      </c>
      <c r="I7">
        <v>-1.11536E-4</v>
      </c>
      <c r="J7">
        <f>1.13812*10^-6</f>
        <v>1.1381199999999999E-6</v>
      </c>
      <c r="K7">
        <f>-1.13812*10^-6</f>
        <v>-1.1381199999999999E-6</v>
      </c>
      <c r="L7">
        <v>-2.84336E-4</v>
      </c>
      <c r="M7">
        <v>-2.84336E-4</v>
      </c>
      <c r="N7">
        <v>0.99543400000000004</v>
      </c>
    </row>
    <row r="8" spans="1:14" x14ac:dyDescent="0.25">
      <c r="A8" s="10">
        <v>107</v>
      </c>
      <c r="B8" s="10">
        <v>0.11623600000000001</v>
      </c>
      <c r="C8" s="11">
        <v>17.29</v>
      </c>
      <c r="D8" s="12">
        <v>1.5920000000000001</v>
      </c>
      <c r="E8" s="12">
        <v>35.090800000000002</v>
      </c>
      <c r="F8" s="20">
        <f t="shared" si="0"/>
        <v>17.800800000000002</v>
      </c>
      <c r="G8" s="87"/>
      <c r="H8">
        <v>2.23916E-4</v>
      </c>
      <c r="I8">
        <v>-1.43607E-4</v>
      </c>
      <c r="J8">
        <f>3.04545*10^-6</f>
        <v>3.0454500000000002E-6</v>
      </c>
      <c r="K8">
        <f>-3.04545*10^-6</f>
        <v>-3.0454500000000002E-6</v>
      </c>
      <c r="L8">
        <v>-3.6752300000000003E-4</v>
      </c>
      <c r="M8">
        <v>-3.6752300000000003E-4</v>
      </c>
      <c r="N8">
        <v>0.99589899999999998</v>
      </c>
    </row>
    <row r="9" spans="1:14" x14ac:dyDescent="0.25">
      <c r="A9" s="10">
        <v>146</v>
      </c>
      <c r="B9" s="10">
        <v>0.20618600000000001</v>
      </c>
      <c r="C9" s="11">
        <v>2.84</v>
      </c>
      <c r="D9" s="12">
        <v>1.554</v>
      </c>
      <c r="E9" s="12">
        <v>16.653500000000001</v>
      </c>
      <c r="F9" s="20">
        <f t="shared" si="0"/>
        <v>13.813500000000001</v>
      </c>
      <c r="G9" s="87"/>
      <c r="H9">
        <v>1.0076E-4</v>
      </c>
      <c r="I9">
        <v>-7.2547199999999996E-5</v>
      </c>
      <c r="J9">
        <f>-1.21864*10^-6</f>
        <v>-1.2186399999999999E-6</v>
      </c>
      <c r="K9">
        <f>1.21864*10^-6</f>
        <v>1.2186399999999999E-6</v>
      </c>
      <c r="L9">
        <v>-1.73308E-4</v>
      </c>
      <c r="M9">
        <v>-1.73308E-4</v>
      </c>
      <c r="N9">
        <v>0.99732200000000004</v>
      </c>
    </row>
    <row r="10" spans="1:14" x14ac:dyDescent="0.25">
      <c r="A10" s="10">
        <v>185</v>
      </c>
      <c r="B10" s="10">
        <v>0.111287</v>
      </c>
      <c r="C10" s="11">
        <v>6.4</v>
      </c>
      <c r="D10" s="12">
        <v>1.5840000000000001</v>
      </c>
      <c r="E10" s="12">
        <v>38.329300000000003</v>
      </c>
      <c r="F10" s="20">
        <f t="shared" si="0"/>
        <v>31.929300000000005</v>
      </c>
      <c r="G10" s="87"/>
      <c r="H10">
        <v>2.9723999999999999E-4</v>
      </c>
      <c r="I10">
        <v>-1.06847E-4</v>
      </c>
      <c r="J10">
        <f>1.41086*10^-6</f>
        <v>1.4108599999999999E-6</v>
      </c>
      <c r="K10">
        <f>-1.41086*10^-6</f>
        <v>-1.4108599999999999E-6</v>
      </c>
      <c r="L10">
        <v>-4.0408700000000002E-4</v>
      </c>
      <c r="M10">
        <v>-4.0408700000000002E-4</v>
      </c>
      <c r="N10">
        <v>0.99563599999999997</v>
      </c>
    </row>
    <row r="11" spans="1:14" x14ac:dyDescent="0.25">
      <c r="A11" s="10">
        <v>216</v>
      </c>
      <c r="B11" s="10">
        <v>0.119421</v>
      </c>
      <c r="C11" s="11">
        <v>5.41</v>
      </c>
      <c r="D11" s="12">
        <v>1.5720000000000001</v>
      </c>
      <c r="E11" s="12">
        <v>33.472200000000001</v>
      </c>
      <c r="F11" s="20">
        <f t="shared" si="0"/>
        <v>28.062200000000001</v>
      </c>
      <c r="G11" s="87"/>
      <c r="H11">
        <v>2.6339199999999999E-4</v>
      </c>
      <c r="I11">
        <v>-1.15089E-4</v>
      </c>
      <c r="J11">
        <f>1.38529*10^-7</f>
        <v>1.3852899999999998E-7</v>
      </c>
      <c r="K11">
        <f>-1.38529*10^-7</f>
        <v>-1.3852899999999998E-7</v>
      </c>
      <c r="L11">
        <v>-3.7848100000000001E-4</v>
      </c>
      <c r="M11">
        <v>-3.7848100000000001E-4</v>
      </c>
      <c r="N11">
        <v>0.99504199999999998</v>
      </c>
    </row>
    <row r="12" spans="1:14" x14ac:dyDescent="0.25">
      <c r="A12" s="10">
        <v>231</v>
      </c>
      <c r="B12" s="14">
        <v>0.131492</v>
      </c>
      <c r="C12" s="15">
        <v>4.95</v>
      </c>
      <c r="D12" s="12">
        <v>1.57</v>
      </c>
      <c r="E12" s="12">
        <v>30.611000000000001</v>
      </c>
      <c r="F12" s="20">
        <f t="shared" si="0"/>
        <v>25.661000000000001</v>
      </c>
      <c r="G12" s="87"/>
      <c r="H12">
        <v>2.5414300000000002E-4</v>
      </c>
      <c r="I12">
        <v>-1.11557E-4</v>
      </c>
      <c r="J12">
        <f>-8.88361*10^-8</f>
        <v>-8.8836099999999994E-8</v>
      </c>
      <c r="K12">
        <f>8.88361*10^-8</f>
        <v>8.8836099999999994E-8</v>
      </c>
      <c r="L12">
        <v>-3.6570100000000001E-4</v>
      </c>
      <c r="M12">
        <v>-3.6570100000000001E-4</v>
      </c>
      <c r="N12">
        <v>0.99414000000000002</v>
      </c>
    </row>
    <row r="13" spans="1:14" x14ac:dyDescent="0.25">
      <c r="A13" s="10">
        <v>239</v>
      </c>
      <c r="B13" s="10">
        <v>0.15192800000000001</v>
      </c>
      <c r="C13" s="11">
        <v>4.4400000000000004</v>
      </c>
      <c r="D13" s="12">
        <v>1.581</v>
      </c>
      <c r="E13" s="12">
        <v>27.476700000000001</v>
      </c>
      <c r="F13" s="20">
        <f t="shared" si="0"/>
        <v>23.0367</v>
      </c>
      <c r="G13" s="87"/>
      <c r="H13">
        <v>2.2198199999999999E-4</v>
      </c>
      <c r="I13">
        <v>-8.7260800000000003E-5</v>
      </c>
      <c r="J13">
        <f>8.90411*10^-7</f>
        <v>8.9041099999999986E-7</v>
      </c>
      <c r="K13">
        <f>-8.90411*10^-7</f>
        <v>-8.9041099999999986E-7</v>
      </c>
      <c r="L13">
        <v>-3.0924300000000001E-4</v>
      </c>
      <c r="M13">
        <v>-3.0924300000000001E-4</v>
      </c>
      <c r="N13">
        <v>0.99431199999999997</v>
      </c>
    </row>
    <row r="14" spans="1:14" x14ac:dyDescent="0.25">
      <c r="A14" s="10">
        <v>281</v>
      </c>
      <c r="B14" s="10">
        <v>0.122434</v>
      </c>
      <c r="C14" s="11">
        <v>5.39</v>
      </c>
      <c r="D14" s="12">
        <v>1.5780000000000001</v>
      </c>
      <c r="E14" s="12">
        <v>33.347799999999999</v>
      </c>
      <c r="F14" s="20">
        <f t="shared" si="0"/>
        <v>27.957799999999999</v>
      </c>
      <c r="G14" s="87"/>
      <c r="H14">
        <v>2.5375700000000002E-4</v>
      </c>
      <c r="I14">
        <v>-1.02483E-4</v>
      </c>
      <c r="J14">
        <f>7.38267*10^-7</f>
        <v>7.3826699999999992E-7</v>
      </c>
      <c r="K14">
        <f>-7.38267*10^-7</f>
        <v>-7.3826699999999992E-7</v>
      </c>
      <c r="L14">
        <v>-3.5624000000000002E-4</v>
      </c>
      <c r="M14">
        <v>-3.5624000000000002E-4</v>
      </c>
      <c r="N14">
        <v>0.99346199999999996</v>
      </c>
    </row>
    <row r="15" spans="1:14" x14ac:dyDescent="0.25">
      <c r="A15" s="10">
        <v>297</v>
      </c>
      <c r="B15" s="10">
        <v>0.139179</v>
      </c>
      <c r="C15" s="11">
        <v>5.31</v>
      </c>
      <c r="D15" s="12">
        <v>1.59</v>
      </c>
      <c r="E15" s="12">
        <v>30.585899999999999</v>
      </c>
      <c r="F15" s="20">
        <f t="shared" si="0"/>
        <v>25.2759</v>
      </c>
      <c r="G15" s="87"/>
      <c r="H15">
        <v>2.2399099999999999E-4</v>
      </c>
      <c r="I15">
        <v>-7.8876300000000002E-5</v>
      </c>
      <c r="J15">
        <f>1.5149*10^-6</f>
        <v>1.5148999999999999E-6</v>
      </c>
      <c r="K15">
        <f>-1.5149*10^-6</f>
        <v>-1.5148999999999999E-6</v>
      </c>
      <c r="L15">
        <v>-3.0286700000000001E-4</v>
      </c>
      <c r="M15">
        <v>-3.0286700000000001E-4</v>
      </c>
      <c r="N15">
        <v>0.99757200000000001</v>
      </c>
    </row>
    <row r="16" spans="1:14" x14ac:dyDescent="0.25">
      <c r="A16" s="10">
        <v>313</v>
      </c>
      <c r="B16" s="10">
        <v>0.13514300000000001</v>
      </c>
      <c r="C16" s="11">
        <v>4.8899999999999997</v>
      </c>
      <c r="D16" s="12">
        <v>1.5569999999999999</v>
      </c>
      <c r="E16" s="12">
        <v>27.392900000000001</v>
      </c>
      <c r="F16" s="20">
        <f t="shared" si="0"/>
        <v>22.5029</v>
      </c>
      <c r="G16" s="87"/>
      <c r="H16">
        <v>2.1355199999999999E-4</v>
      </c>
      <c r="I16">
        <v>-1.14605E-4</v>
      </c>
      <c r="J16">
        <f>-1.58123*10^-6</f>
        <v>-1.5812299999999998E-6</v>
      </c>
      <c r="K16">
        <f>1.58123*10^-6</f>
        <v>1.5812299999999998E-6</v>
      </c>
      <c r="L16">
        <v>-3.2815699999999998E-4</v>
      </c>
      <c r="M16">
        <v>-3.2815699999999998E-4</v>
      </c>
      <c r="N16">
        <v>0.99724299999999999</v>
      </c>
    </row>
    <row r="17" spans="1:14" x14ac:dyDescent="0.25">
      <c r="A17" s="10">
        <v>326</v>
      </c>
      <c r="B17" s="10">
        <v>0.15143499999999999</v>
      </c>
      <c r="C17" s="11">
        <v>4.83</v>
      </c>
      <c r="D17" s="12">
        <v>1.585</v>
      </c>
      <c r="E17" s="12">
        <v>27.5197</v>
      </c>
      <c r="F17" s="20">
        <f t="shared" si="0"/>
        <v>22.689700000000002</v>
      </c>
      <c r="G17" s="87"/>
      <c r="H17">
        <v>2.0907900000000001E-4</v>
      </c>
      <c r="I17">
        <v>-8.3480300000000001E-5</v>
      </c>
      <c r="J17">
        <f>1.18581*10^-6</f>
        <v>1.18581E-6</v>
      </c>
      <c r="K17">
        <f>-1.18581*10^-6</f>
        <v>-1.18581E-6</v>
      </c>
      <c r="L17">
        <v>-2.9255900000000002E-4</v>
      </c>
      <c r="M17">
        <v>-2.9255900000000002E-4</v>
      </c>
      <c r="N17">
        <v>0.99819800000000003</v>
      </c>
    </row>
    <row r="18" spans="1:14" x14ac:dyDescent="0.25">
      <c r="A18" s="10">
        <v>348</v>
      </c>
      <c r="B18" s="10">
        <v>0.13852600000000001</v>
      </c>
      <c r="C18" s="11">
        <v>5.54</v>
      </c>
      <c r="D18" s="12">
        <v>1.5860000000000001</v>
      </c>
      <c r="E18" s="12">
        <v>30.865500000000001</v>
      </c>
      <c r="F18" s="20">
        <f t="shared" si="0"/>
        <v>25.325500000000002</v>
      </c>
      <c r="G18" s="87"/>
      <c r="H18">
        <v>2.5016900000000001E-4</v>
      </c>
      <c r="I18">
        <v>-9.8484600000000002E-5</v>
      </c>
      <c r="J18">
        <f>1.49744*10^-6</f>
        <v>1.4974400000000001E-6</v>
      </c>
      <c r="K18">
        <f>1.49744*10^-6</f>
        <v>1.4974400000000001E-6</v>
      </c>
      <c r="L18">
        <v>-3.48654E-4</v>
      </c>
      <c r="M18">
        <v>-3.48654E-4</v>
      </c>
      <c r="N18">
        <v>0.99587300000000001</v>
      </c>
    </row>
    <row r="19" spans="1:14" x14ac:dyDescent="0.25">
      <c r="A19" s="10">
        <v>379</v>
      </c>
      <c r="B19" s="10">
        <v>0.17277000000000001</v>
      </c>
      <c r="C19" s="11">
        <v>3.27</v>
      </c>
      <c r="D19" s="12">
        <v>1.5489999999999999</v>
      </c>
      <c r="E19" s="12">
        <v>17.431799999999999</v>
      </c>
      <c r="F19" s="20">
        <f t="shared" si="0"/>
        <v>14.161799999999999</v>
      </c>
      <c r="G19" s="87"/>
      <c r="H19">
        <v>6.7271299999999994E-5</v>
      </c>
      <c r="I19">
        <v>-1.0862900000000001E-4</v>
      </c>
      <c r="J19">
        <f>-2.36808*10^-6</f>
        <v>-2.3680799999999997E-6</v>
      </c>
      <c r="K19">
        <f>2.36808*10^-6</f>
        <v>2.3680799999999997E-6</v>
      </c>
      <c r="L19">
        <v>-1.7589999999999999E-4</v>
      </c>
      <c r="M19">
        <v>-1.7589999999999999E-4</v>
      </c>
      <c r="N19">
        <v>0.99755300000000002</v>
      </c>
    </row>
    <row r="20" spans="1:14" x14ac:dyDescent="0.25">
      <c r="A20" s="10">
        <v>396</v>
      </c>
      <c r="B20" s="10">
        <v>0.11897000000000001</v>
      </c>
      <c r="C20" s="11">
        <v>5.96</v>
      </c>
      <c r="D20" s="12">
        <v>1.5660000000000001</v>
      </c>
      <c r="E20" s="12">
        <v>31.916699999999999</v>
      </c>
      <c r="F20" s="20">
        <f t="shared" si="0"/>
        <v>25.956699999999998</v>
      </c>
      <c r="G20" s="87"/>
      <c r="H20">
        <v>2.3965400000000001E-4</v>
      </c>
      <c r="I20">
        <v>-1.2652799999999999E-4</v>
      </c>
      <c r="J20">
        <f>-6.06874*10^-7</f>
        <v>-6.0687399999999999E-7</v>
      </c>
      <c r="K20">
        <f>6.06874*10^-7</f>
        <v>6.0687399999999999E-7</v>
      </c>
      <c r="L20">
        <v>-3.66182E-4</v>
      </c>
      <c r="M20">
        <v>-3.66182E-4</v>
      </c>
      <c r="N20">
        <v>0.996583</v>
      </c>
    </row>
    <row r="21" spans="1:14" x14ac:dyDescent="0.25">
      <c r="A21" s="10">
        <v>404</v>
      </c>
      <c r="B21" s="10">
        <v>0.13766900000000001</v>
      </c>
      <c r="C21" s="11">
        <v>5.28</v>
      </c>
      <c r="D21" s="12">
        <v>1.56</v>
      </c>
      <c r="E21" s="12">
        <v>28.244</v>
      </c>
      <c r="F21" s="20">
        <f t="shared" si="0"/>
        <v>22.963999999999999</v>
      </c>
      <c r="G21" s="87"/>
      <c r="H21">
        <v>2.42282E-4</v>
      </c>
      <c r="I21">
        <v>-1.2074300000000001E-4</v>
      </c>
      <c r="J21">
        <f>-1.30363*10^-6</f>
        <v>-1.3036300000000001E-6</v>
      </c>
      <c r="K21">
        <f>1.30363*10^-6</f>
        <v>1.3036300000000001E-6</v>
      </c>
      <c r="L21">
        <v>-3.63025E-4</v>
      </c>
      <c r="M21">
        <v>-3.63025E-4</v>
      </c>
      <c r="N21">
        <v>0.99636000000000002</v>
      </c>
    </row>
    <row r="22" spans="1:14" x14ac:dyDescent="0.25">
      <c r="A22" s="10">
        <v>421</v>
      </c>
      <c r="B22" s="10">
        <v>0.121905</v>
      </c>
      <c r="C22" s="11">
        <v>6.76</v>
      </c>
      <c r="D22" s="12">
        <v>1.589</v>
      </c>
      <c r="E22" s="12">
        <v>36.213999999999999</v>
      </c>
      <c r="F22" s="20">
        <f t="shared" si="0"/>
        <v>29.454000000000001</v>
      </c>
      <c r="G22" s="87"/>
      <c r="H22">
        <v>3.0966400000000002E-4</v>
      </c>
      <c r="I22">
        <v>-1.2017E-4</v>
      </c>
      <c r="J22">
        <f>2.18778*10^-6</f>
        <v>2.1877799999999999E-6</v>
      </c>
      <c r="K22">
        <f>-2.18778*10^-6</f>
        <v>-2.1877799999999999E-6</v>
      </c>
      <c r="L22">
        <v>-4.2983399999999998E-4</v>
      </c>
      <c r="M22">
        <v>-4.2983399999999998E-4</v>
      </c>
      <c r="N22">
        <v>0.99597599999999997</v>
      </c>
    </row>
    <row r="23" spans="1:14" x14ac:dyDescent="0.25">
      <c r="A23" s="10">
        <v>453</v>
      </c>
      <c r="B23" s="10">
        <v>0.13869600000000001</v>
      </c>
      <c r="C23" s="11">
        <v>5.72</v>
      </c>
      <c r="D23" s="12">
        <v>1.587</v>
      </c>
      <c r="E23" s="12">
        <v>30.64</v>
      </c>
      <c r="F23" s="20">
        <f t="shared" si="0"/>
        <v>24.92</v>
      </c>
      <c r="G23" s="87"/>
      <c r="H23">
        <v>2.3881900000000001E-4</v>
      </c>
      <c r="I23">
        <v>-9.5426400000000005E-5</v>
      </c>
      <c r="J23">
        <f>1.54639*10^-6</f>
        <v>1.5463899999999999E-6</v>
      </c>
      <c r="K23">
        <f>-1.54639*10^-6</f>
        <v>-1.5463899999999999E-6</v>
      </c>
      <c r="L23">
        <v>-3.34245E-4</v>
      </c>
      <c r="M23">
        <v>-3.34245E-4</v>
      </c>
      <c r="N23">
        <v>0.99773199999999995</v>
      </c>
    </row>
    <row r="24" spans="1:14" x14ac:dyDescent="0.25">
      <c r="A24" s="10">
        <v>470</v>
      </c>
      <c r="B24" s="10">
        <v>0.147317</v>
      </c>
      <c r="C24" s="11">
        <v>5.3</v>
      </c>
      <c r="D24" s="12">
        <v>1.5680000000000001</v>
      </c>
      <c r="E24" s="12">
        <v>27.3765</v>
      </c>
      <c r="F24" s="20">
        <f t="shared" si="0"/>
        <v>22.076499999999999</v>
      </c>
      <c r="G24" s="87"/>
      <c r="H24">
        <v>2.3711500000000001E-4</v>
      </c>
      <c r="I24">
        <v>-1.14045E-4</v>
      </c>
      <c r="J24">
        <f>-3.18908*10^-7</f>
        <v>-3.1890799999999999E-7</v>
      </c>
      <c r="K24">
        <f>3.18908*10^-7</f>
        <v>3.1890799999999999E-7</v>
      </c>
      <c r="L24">
        <v>-3.5115999999999999E-4</v>
      </c>
      <c r="M24">
        <v>-3.5115999999999999E-4</v>
      </c>
      <c r="N24">
        <v>0.99664699999999995</v>
      </c>
    </row>
    <row r="25" spans="1:14" x14ac:dyDescent="0.25">
      <c r="A25" s="10">
        <v>500</v>
      </c>
      <c r="B25" s="10">
        <v>0.13995199999999999</v>
      </c>
      <c r="C25" s="11">
        <v>5.23</v>
      </c>
      <c r="D25" s="12">
        <v>1.569</v>
      </c>
      <c r="E25" s="12">
        <v>27.405100000000001</v>
      </c>
      <c r="F25" s="20">
        <f t="shared" si="0"/>
        <v>22.1751</v>
      </c>
      <c r="G25" s="87"/>
      <c r="H25">
        <v>2.01473E-4</v>
      </c>
      <c r="I25">
        <v>-1.05677E-4</v>
      </c>
      <c r="J25">
        <f>-1.89831*10^-7</f>
        <v>-1.8983099999999997E-7</v>
      </c>
      <c r="K25">
        <f>1.89831*10^-7</f>
        <v>1.8983099999999997E-7</v>
      </c>
      <c r="L25">
        <v>-3.0715000000000001E-4</v>
      </c>
      <c r="M25">
        <v>-3.0715000000000001E-4</v>
      </c>
      <c r="N25">
        <v>0.99616800000000005</v>
      </c>
    </row>
    <row r="26" spans="1:14" x14ac:dyDescent="0.25">
      <c r="A26" s="10">
        <v>514</v>
      </c>
      <c r="B26" s="10">
        <v>0.11076999999999999</v>
      </c>
      <c r="C26" s="11">
        <v>11.03</v>
      </c>
      <c r="D26" s="12">
        <v>1.583</v>
      </c>
      <c r="E26" s="12">
        <v>36.747599999999998</v>
      </c>
      <c r="F26" s="20">
        <f t="shared" si="0"/>
        <v>25.717599999999997</v>
      </c>
      <c r="G26" s="87"/>
      <c r="H26">
        <v>2.6933799999999999E-4</v>
      </c>
      <c r="I26">
        <v>-1.5542099999999999E-4</v>
      </c>
      <c r="J26">
        <f>1.8968*10^-6</f>
        <v>1.8968E-6</v>
      </c>
      <c r="K26">
        <f>-1.8968*10^-6</f>
        <v>-1.8968E-6</v>
      </c>
      <c r="L26">
        <v>-4.2475899999999998E-4</v>
      </c>
      <c r="M26">
        <v>-4.2475899999999998E-4</v>
      </c>
      <c r="N26">
        <v>0.99527500000000002</v>
      </c>
    </row>
    <row r="27" spans="1:14" x14ac:dyDescent="0.25">
      <c r="A27" s="10">
        <v>528</v>
      </c>
      <c r="B27" s="10">
        <v>0.18412800000000001</v>
      </c>
      <c r="C27" s="11">
        <v>8.52</v>
      </c>
      <c r="D27" s="12">
        <v>1.554</v>
      </c>
      <c r="E27" s="12">
        <v>18.911799999999999</v>
      </c>
      <c r="F27" s="20">
        <f t="shared" si="0"/>
        <v>10.3918</v>
      </c>
      <c r="G27" s="87"/>
      <c r="H27">
        <v>1.21705E-4</v>
      </c>
      <c r="I27">
        <v>-9.1919300000000006E-5</v>
      </c>
      <c r="J27">
        <f>-1.54405*10^-6</f>
        <v>-1.5440499999999999E-6</v>
      </c>
      <c r="K27">
        <f>1.54405*10^-6</f>
        <v>1.5440499999999999E-6</v>
      </c>
      <c r="L27">
        <v>-2.1362400000000001E-4</v>
      </c>
      <c r="M27">
        <v>-2.1362400000000001E-4</v>
      </c>
      <c r="N27">
        <v>0.99688299999999996</v>
      </c>
    </row>
    <row r="28" spans="1:14" x14ac:dyDescent="0.25">
      <c r="A28" s="10">
        <v>556</v>
      </c>
      <c r="B28" s="10">
        <v>0.14480699999999999</v>
      </c>
      <c r="C28" s="11">
        <v>12.57</v>
      </c>
      <c r="D28" s="12">
        <v>1.5669999999999999</v>
      </c>
      <c r="E28" s="12">
        <v>27.691600000000001</v>
      </c>
      <c r="F28" s="20">
        <f t="shared" si="0"/>
        <v>15.121600000000001</v>
      </c>
      <c r="G28" s="87"/>
      <c r="H28">
        <v>2.2854099999999999E-4</v>
      </c>
      <c r="I28">
        <v>-1.13811E-4</v>
      </c>
      <c r="J28">
        <f>-4.32066*10^-7</f>
        <v>-4.3206599999999997E-7</v>
      </c>
      <c r="K28">
        <f>4.32066*10^-7</f>
        <v>4.3206599999999997E-7</v>
      </c>
      <c r="L28">
        <v>-3.4235199999999998E-4</v>
      </c>
      <c r="M28">
        <v>-3.4235199999999998E-4</v>
      </c>
      <c r="N28">
        <v>0.99470199999999998</v>
      </c>
    </row>
    <row r="29" spans="1:14" x14ac:dyDescent="0.25">
      <c r="A29" s="10">
        <v>587</v>
      </c>
      <c r="B29" s="10">
        <v>0.143784</v>
      </c>
      <c r="C29" s="11">
        <v>13.44</v>
      </c>
      <c r="D29" s="12">
        <v>1.575</v>
      </c>
      <c r="E29" s="12">
        <v>28.675699999999999</v>
      </c>
      <c r="F29" s="20">
        <f t="shared" si="0"/>
        <v>15.2357</v>
      </c>
      <c r="G29" s="87"/>
      <c r="H29">
        <v>2.3335700000000001E-4</v>
      </c>
      <c r="I29">
        <v>-1.1432199999999999E-4</v>
      </c>
      <c r="J29">
        <f>4.80574*10^-7</f>
        <v>4.8057400000000003E-7</v>
      </c>
      <c r="K29">
        <f>-4.80574*10^-7</f>
        <v>-4.8057400000000003E-7</v>
      </c>
      <c r="L29">
        <v>-3.4767799999999997E-4</v>
      </c>
      <c r="M29">
        <v>-3.4767799999999997E-4</v>
      </c>
      <c r="N29">
        <v>0.99396700000000004</v>
      </c>
    </row>
    <row r="30" spans="1:14" ht="15.75" thickBot="1" x14ac:dyDescent="0.3">
      <c r="A30" s="37">
        <v>631</v>
      </c>
      <c r="B30" s="37">
        <v>0.14394499999999999</v>
      </c>
      <c r="C30" s="73">
        <v>13.46</v>
      </c>
      <c r="D30" s="74">
        <v>1.569</v>
      </c>
      <c r="E30" s="74">
        <v>27.678599999999999</v>
      </c>
      <c r="F30" s="76">
        <f t="shared" si="0"/>
        <v>14.218599999999999</v>
      </c>
      <c r="G30" s="87"/>
      <c r="H30">
        <v>2.13864E-4</v>
      </c>
      <c r="I30">
        <v>-1.08149E-4</v>
      </c>
      <c r="J30">
        <f>-1.94272*10^-7</f>
        <v>-1.9427199999999998E-7</v>
      </c>
      <c r="K30">
        <f>1.94272*10^-7</f>
        <v>1.9427199999999998E-7</v>
      </c>
      <c r="L30">
        <v>-3.2201300000000001E-4</v>
      </c>
      <c r="M30">
        <v>-3.2201300000000001E-4</v>
      </c>
      <c r="N30">
        <v>0.99628099999999997</v>
      </c>
    </row>
    <row r="31" spans="1:14" x14ac:dyDescent="0.25">
      <c r="A31" s="38" t="s">
        <v>6</v>
      </c>
      <c r="B31" s="39">
        <f>AVERAGE(B8:B30)</f>
        <v>0.14034695652173915</v>
      </c>
      <c r="C31" s="39"/>
      <c r="D31" s="80">
        <f>AVERAGE(D4:D30)</f>
        <v>1.5753333333333333</v>
      </c>
      <c r="E31" s="39">
        <f>AVERAGE(E4:E30)</f>
        <v>29.685774074074065</v>
      </c>
      <c r="F31" s="77">
        <f>AVERAGE(F4:F30)</f>
        <v>22.635033333333336</v>
      </c>
      <c r="G31" s="77" t="s">
        <v>52</v>
      </c>
      <c r="H31" s="81">
        <f>-AVERAGE(H4:H30)</f>
        <v>-2.2207104814814818E-4</v>
      </c>
      <c r="I31" s="81">
        <f>-AVERAGE(I4:I30)</f>
        <v>1.0697494814814818E-4</v>
      </c>
      <c r="J31" s="81">
        <f t="shared" ref="J31:N31" si="1">AVERAGE(J4:J30)</f>
        <v>4.6429218148148159E-7</v>
      </c>
      <c r="K31" s="81">
        <f t="shared" si="1"/>
        <v>-3.0585921851851861E-7</v>
      </c>
      <c r="L31" s="81">
        <f t="shared" si="1"/>
        <v>-3.2904603703703706E-4</v>
      </c>
      <c r="M31" s="81">
        <f t="shared" si="1"/>
        <v>-3.290460407407408E-4</v>
      </c>
      <c r="N31" s="82">
        <f t="shared" si="1"/>
        <v>0.9960620740740741</v>
      </c>
    </row>
    <row r="32" spans="1:14" ht="15.75" thickBot="1" x14ac:dyDescent="0.3">
      <c r="A32" s="18" t="s">
        <v>7</v>
      </c>
      <c r="B32" s="19">
        <f>_xlfn.STDEV.P(B8:B30)</f>
        <v>2.2486518659696794E-2</v>
      </c>
      <c r="C32" s="19"/>
      <c r="D32" s="84">
        <f>_xlfn.STDEV.P(D4:D30)</f>
        <v>1.3046923860520632E-2</v>
      </c>
      <c r="E32" s="19">
        <f>_xlfn.STDEV.P(E4:E30)</f>
        <v>5.3232013050901568</v>
      </c>
      <c r="F32" s="78">
        <f>_xlfn.STDEV.P(F4:F30)</f>
        <v>5.4692722103009555</v>
      </c>
      <c r="G32" s="78" t="s">
        <v>53</v>
      </c>
      <c r="H32" s="85">
        <f>_xlfn.STDEV.P(H4:H30)</f>
        <v>5.3465515610021568E-5</v>
      </c>
      <c r="I32" s="85">
        <f t="shared" ref="I32:N32" si="2">_xlfn.STDEV.P(I4:I30)</f>
        <v>1.9349700471571477E-5</v>
      </c>
      <c r="J32" s="85">
        <f t="shared" si="2"/>
        <v>1.3368177348432069E-6</v>
      </c>
      <c r="K32" s="85">
        <f t="shared" si="2"/>
        <v>1.381701496135615E-6</v>
      </c>
      <c r="L32" s="85">
        <f t="shared" si="2"/>
        <v>6.3567553475420778E-5</v>
      </c>
      <c r="M32" s="85">
        <f t="shared" si="2"/>
        <v>6.3567549330399578E-5</v>
      </c>
      <c r="N32" s="88">
        <f t="shared" si="2"/>
        <v>1.2272437931586254E-3</v>
      </c>
    </row>
    <row r="33" spans="1:2" x14ac:dyDescent="0.25">
      <c r="A33" s="16" t="s">
        <v>8</v>
      </c>
      <c r="B33" s="17">
        <f>B31+B32</f>
        <v>0.16283347518143593</v>
      </c>
    </row>
    <row r="34" spans="1:2" ht="15.75" thickBot="1" x14ac:dyDescent="0.3">
      <c r="A34" s="18" t="s">
        <v>9</v>
      </c>
      <c r="B34" s="19">
        <f>B31-B32</f>
        <v>0.11786043786204235</v>
      </c>
    </row>
  </sheetData>
  <mergeCells count="1"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N25"/>
  <sheetViews>
    <sheetView workbookViewId="0">
      <selection activeCell="H30" sqref="H30"/>
    </sheetView>
  </sheetViews>
  <sheetFormatPr defaultRowHeight="15" x14ac:dyDescent="0.25"/>
  <cols>
    <col min="1" max="1" width="18" customWidth="1"/>
    <col min="2" max="2" width="12" bestFit="1" customWidth="1"/>
    <col min="3" max="3" width="14.140625" bestFit="1" customWidth="1"/>
    <col min="5" max="5" width="12" bestFit="1" customWidth="1"/>
    <col min="7" max="7" width="12.5703125" bestFit="1" customWidth="1"/>
  </cols>
  <sheetData>
    <row r="1" spans="1:14" ht="15.75" thickBot="1" x14ac:dyDescent="0.3">
      <c r="A1" t="s">
        <v>45</v>
      </c>
    </row>
    <row r="2" spans="1:14" x14ac:dyDescent="0.25">
      <c r="A2" s="212" t="s">
        <v>10</v>
      </c>
      <c r="B2" s="213"/>
      <c r="C2" s="213"/>
      <c r="D2" s="213"/>
      <c r="E2" s="213"/>
      <c r="F2" s="214"/>
    </row>
    <row r="3" spans="1:14" ht="45" x14ac:dyDescent="0.25">
      <c r="A3" s="1" t="s">
        <v>1</v>
      </c>
      <c r="B3" s="2" t="s">
        <v>2</v>
      </c>
      <c r="C3" s="1" t="s">
        <v>14</v>
      </c>
      <c r="D3" s="2" t="s">
        <v>3</v>
      </c>
      <c r="E3" s="2" t="s">
        <v>44</v>
      </c>
      <c r="F3" s="3" t="s">
        <v>4</v>
      </c>
      <c r="G3" s="4" t="s">
        <v>5</v>
      </c>
      <c r="H3" s="3" t="s">
        <v>37</v>
      </c>
      <c r="I3" s="50" t="s">
        <v>39</v>
      </c>
      <c r="J3" s="50" t="s">
        <v>41</v>
      </c>
      <c r="K3" s="50" t="s">
        <v>38</v>
      </c>
      <c r="L3" s="3" t="s">
        <v>42</v>
      </c>
      <c r="M3" s="3" t="s">
        <v>40</v>
      </c>
      <c r="N3" s="50" t="s">
        <v>43</v>
      </c>
    </row>
    <row r="4" spans="1:14" x14ac:dyDescent="0.25">
      <c r="A4" s="5">
        <v>24</v>
      </c>
      <c r="B4" s="6">
        <v>5.7591000000000003E-2</v>
      </c>
      <c r="C4" s="5">
        <v>69.909099999999995</v>
      </c>
      <c r="D4" s="6">
        <v>13.82</v>
      </c>
      <c r="E4" s="6">
        <f>C4-D4</f>
        <v>56.089099999999995</v>
      </c>
      <c r="F4" s="7">
        <v>1.5609999999999999</v>
      </c>
      <c r="G4" s="20" t="s">
        <v>46</v>
      </c>
      <c r="H4">
        <v>7.6889500000000002E-4</v>
      </c>
      <c r="I4">
        <v>-3.84736E-4</v>
      </c>
      <c r="J4">
        <f>-3.76912*10^-6</f>
        <v>-3.7691199999999998E-6</v>
      </c>
      <c r="K4" s="52">
        <f>3.76912*10^-6</f>
        <v>3.7691199999999998E-6</v>
      </c>
      <c r="L4">
        <v>-1.1536300000000001E-3</v>
      </c>
      <c r="M4">
        <v>-1.1536300000000001E-3</v>
      </c>
      <c r="N4">
        <v>0.95563799999999999</v>
      </c>
    </row>
    <row r="5" spans="1:14" x14ac:dyDescent="0.25">
      <c r="A5" s="5">
        <v>41</v>
      </c>
      <c r="B5" s="6">
        <v>6.7280800000000002E-2</v>
      </c>
      <c r="C5" s="5">
        <v>54.928600000000003</v>
      </c>
      <c r="D5" s="6">
        <v>11.29</v>
      </c>
      <c r="E5" s="6">
        <f t="shared" ref="E5:E21" si="0">C5-D5</f>
        <v>43.638600000000004</v>
      </c>
      <c r="F5" s="7">
        <v>1.5469999999999999</v>
      </c>
      <c r="G5" s="20" t="s">
        <v>46</v>
      </c>
      <c r="H5">
        <v>6.1026899999999998E-4</v>
      </c>
      <c r="I5">
        <v>-2.9509700000000002E-4</v>
      </c>
      <c r="J5">
        <f>-7.02356*10^-6</f>
        <v>-7.0235599999999997E-6</v>
      </c>
      <c r="K5" s="52">
        <f>7.02356*10^-6</f>
        <v>7.0235599999999997E-6</v>
      </c>
      <c r="L5">
        <v>-9.05366E-4</v>
      </c>
      <c r="M5">
        <v>-9.05366E-4</v>
      </c>
      <c r="N5">
        <v>0.97031800000000001</v>
      </c>
    </row>
    <row r="6" spans="1:14" x14ac:dyDescent="0.25">
      <c r="A6" s="5">
        <v>65</v>
      </c>
      <c r="B6" s="6">
        <v>5.1023199999999998E-2</v>
      </c>
      <c r="C6" s="5">
        <v>69.909099999999995</v>
      </c>
      <c r="D6" s="6">
        <v>14.82</v>
      </c>
      <c r="E6" s="6">
        <f t="shared" si="0"/>
        <v>55.089099999999995</v>
      </c>
      <c r="F6" s="7">
        <v>1.56</v>
      </c>
      <c r="G6" s="20" t="s">
        <v>46</v>
      </c>
      <c r="H6">
        <v>5.9534099999999999E-4</v>
      </c>
      <c r="I6">
        <v>-3.3498799999999998E-4</v>
      </c>
      <c r="J6">
        <f>-3.61678*10^-6</f>
        <v>-3.6167799999999997E-6</v>
      </c>
      <c r="K6" s="52">
        <f>3.61678*10^-6</f>
        <v>3.6167799999999997E-6</v>
      </c>
      <c r="L6">
        <v>-9.3032900000000003E-4</v>
      </c>
      <c r="M6">
        <v>-9.3032900000000003E-4</v>
      </c>
      <c r="N6">
        <v>0.96266399999999996</v>
      </c>
    </row>
    <row r="7" spans="1:14" x14ac:dyDescent="0.25">
      <c r="A7" s="10">
        <v>86</v>
      </c>
      <c r="B7" s="10">
        <v>5.9499299999999998E-2</v>
      </c>
      <c r="C7" s="10">
        <v>63.916699999999999</v>
      </c>
      <c r="D7" s="11">
        <v>8.8000000000000007</v>
      </c>
      <c r="E7" s="6">
        <f t="shared" si="0"/>
        <v>55.116699999999994</v>
      </c>
      <c r="F7" s="12">
        <v>1.56</v>
      </c>
      <c r="G7" s="20" t="s">
        <v>46</v>
      </c>
      <c r="H7">
        <v>7.8292599999999998E-4</v>
      </c>
      <c r="I7">
        <v>-3.7659500000000002E-4</v>
      </c>
      <c r="J7">
        <f>-8.58648*10^-6</f>
        <v>-8.5864800000000002E-6</v>
      </c>
      <c r="K7" s="52">
        <f>8.58648*10^-6</f>
        <v>8.5864800000000002E-6</v>
      </c>
      <c r="L7">
        <v>-1.15952E-3</v>
      </c>
      <c r="M7">
        <v>-1.15952E-3</v>
      </c>
      <c r="N7">
        <v>0.87189899999999998</v>
      </c>
    </row>
    <row r="8" spans="1:14" x14ac:dyDescent="0.25">
      <c r="A8" s="10">
        <v>103</v>
      </c>
      <c r="B8" s="10">
        <v>5.9499299999999998E-2</v>
      </c>
      <c r="C8" s="10">
        <v>63.916699999999999</v>
      </c>
      <c r="D8" s="11">
        <v>12.33</v>
      </c>
      <c r="E8" s="6">
        <f t="shared" si="0"/>
        <v>51.5867</v>
      </c>
      <c r="F8" s="12">
        <v>1.548</v>
      </c>
      <c r="G8" s="20" t="s">
        <v>46</v>
      </c>
      <c r="H8">
        <v>7.8292599999999998E-4</v>
      </c>
      <c r="I8">
        <v>-3.7659500000000002E-4</v>
      </c>
      <c r="J8">
        <f>-8.58648*10^-6</f>
        <v>-8.5864800000000002E-6</v>
      </c>
      <c r="K8" s="52">
        <f>8.58648*10^-6</f>
        <v>8.5864800000000002E-6</v>
      </c>
      <c r="L8">
        <v>-1.15952E-3</v>
      </c>
      <c r="M8">
        <v>-1.15952E-3</v>
      </c>
      <c r="N8">
        <v>0.87189899999999998</v>
      </c>
    </row>
    <row r="9" spans="1:14" x14ac:dyDescent="0.25">
      <c r="A9" s="10">
        <v>107</v>
      </c>
      <c r="B9" s="10">
        <v>6.4529500000000004E-2</v>
      </c>
      <c r="C9" s="10">
        <v>64.354500000000002</v>
      </c>
      <c r="D9" s="11">
        <v>31.73</v>
      </c>
      <c r="E9" s="6">
        <f t="shared" si="0"/>
        <v>32.624499999999998</v>
      </c>
      <c r="F9" s="12">
        <v>1.554</v>
      </c>
      <c r="G9" s="20" t="s">
        <v>46</v>
      </c>
      <c r="H9">
        <v>6.7893599999999999E-4</v>
      </c>
      <c r="I9">
        <v>-2.1692700000000001E-4</v>
      </c>
      <c r="J9">
        <f>-3.64392*10^-6</f>
        <v>-3.6439200000000001E-6</v>
      </c>
      <c r="K9" s="52">
        <f>3.64392*10^-6</f>
        <v>3.6439200000000001E-6</v>
      </c>
      <c r="L9">
        <v>-8.9586199999999998E-4</v>
      </c>
      <c r="M9">
        <v>-8.9586199999999998E-4</v>
      </c>
      <c r="N9">
        <v>0.93965699999999996</v>
      </c>
    </row>
    <row r="10" spans="1:14" x14ac:dyDescent="0.25">
      <c r="A10" s="10">
        <v>161</v>
      </c>
      <c r="B10" s="21">
        <v>7.2423199999999993E-2</v>
      </c>
      <c r="C10" s="12">
        <v>51.095399999999998</v>
      </c>
      <c r="D10" s="12">
        <v>8.5299999999999994</v>
      </c>
      <c r="E10" s="6">
        <f t="shared" si="0"/>
        <v>42.565399999999997</v>
      </c>
      <c r="F10" s="12">
        <v>1.542</v>
      </c>
      <c r="G10" s="20" t="s">
        <v>46</v>
      </c>
      <c r="H10">
        <v>5.9814700000000004E-4</v>
      </c>
      <c r="I10">
        <v>-2.8036800000000002E-4</v>
      </c>
      <c r="J10">
        <f>-8.0758*10^-6</f>
        <v>-8.0757999999999981E-6</v>
      </c>
      <c r="K10" s="52">
        <f>8.0758*10^-6</f>
        <v>8.0757999999999981E-6</v>
      </c>
      <c r="L10">
        <v>-8.7851499999999996E-4</v>
      </c>
      <c r="M10">
        <v>-8.7851499999999996E-4</v>
      </c>
      <c r="N10">
        <v>0.92772299999999996</v>
      </c>
    </row>
    <row r="11" spans="1:14" x14ac:dyDescent="0.25">
      <c r="A11" s="10">
        <v>185</v>
      </c>
      <c r="B11" s="10">
        <v>8.0199300000000001E-2</v>
      </c>
      <c r="C11" s="10">
        <v>47.9375</v>
      </c>
      <c r="D11" s="11">
        <v>8</v>
      </c>
      <c r="E11" s="6">
        <f t="shared" si="0"/>
        <v>39.9375</v>
      </c>
      <c r="F11" s="12">
        <v>1.5329999999999999</v>
      </c>
      <c r="G11" s="20" t="s">
        <v>46</v>
      </c>
      <c r="H11">
        <v>4.9333799999999996E-4</v>
      </c>
      <c r="I11">
        <v>-2.3847899999999999E-4</v>
      </c>
      <c r="J11">
        <f>-4.2445*10^-6</f>
        <v>-4.2445000000000006E-6</v>
      </c>
      <c r="K11" s="52">
        <f>4.2445*10^-6</f>
        <v>4.2445000000000006E-6</v>
      </c>
      <c r="L11">
        <v>-7.3181699999999995E-4</v>
      </c>
      <c r="M11">
        <v>-7.3181699999999995E-4</v>
      </c>
      <c r="N11">
        <v>0.97311400000000003</v>
      </c>
    </row>
    <row r="12" spans="1:14" x14ac:dyDescent="0.25">
      <c r="A12" s="10">
        <v>216</v>
      </c>
      <c r="B12" s="10">
        <v>7.0643800000000007E-2</v>
      </c>
      <c r="C12" s="10">
        <v>58.9681</v>
      </c>
      <c r="D12" s="11">
        <v>9.5399999999999991</v>
      </c>
      <c r="E12" s="6">
        <f t="shared" si="0"/>
        <v>49.428100000000001</v>
      </c>
      <c r="F12" s="12">
        <v>1.5640000000000001</v>
      </c>
      <c r="G12" s="20" t="s">
        <v>46</v>
      </c>
      <c r="H12">
        <v>6.5196600000000003E-4</v>
      </c>
      <c r="I12">
        <v>-3.1305500000000002E-4</v>
      </c>
      <c r="J12">
        <f>-2.12766*10^-6</f>
        <v>-2.1276600000000001E-6</v>
      </c>
      <c r="K12" s="52">
        <f>2.12766*10^-6</f>
        <v>2.1276600000000001E-6</v>
      </c>
      <c r="L12">
        <v>-9.6502199999999995E-4</v>
      </c>
      <c r="M12">
        <v>-9.6502199999999995E-4</v>
      </c>
      <c r="N12">
        <v>0.92851799999999995</v>
      </c>
    </row>
    <row r="13" spans="1:14" x14ac:dyDescent="0.25">
      <c r="A13" s="10">
        <v>231</v>
      </c>
      <c r="B13" s="14">
        <v>5.2612899999999997E-2</v>
      </c>
      <c r="C13" s="13">
        <v>77.134500000000003</v>
      </c>
      <c r="D13" s="15">
        <v>12.47</v>
      </c>
      <c r="E13" s="6">
        <f t="shared" si="0"/>
        <v>64.664500000000004</v>
      </c>
      <c r="F13" s="12">
        <v>1.5609999999999999</v>
      </c>
      <c r="G13" s="20" t="s">
        <v>46</v>
      </c>
      <c r="H13">
        <v>8.8726199999999999E-4</v>
      </c>
      <c r="I13">
        <v>-4.3400300000000003E-4</v>
      </c>
      <c r="J13">
        <f>-4.25177*10^-6</f>
        <v>-4.2517699999999993E-6</v>
      </c>
      <c r="K13" s="52">
        <f>4.25177*10^-6</f>
        <v>4.2517699999999993E-6</v>
      </c>
      <c r="L13">
        <v>-1.32127E-3</v>
      </c>
      <c r="M13">
        <v>-1.32127E-3</v>
      </c>
      <c r="N13">
        <v>0.87061299999999997</v>
      </c>
    </row>
    <row r="14" spans="1:14" x14ac:dyDescent="0.25">
      <c r="A14" s="10">
        <v>281</v>
      </c>
      <c r="B14" s="10">
        <v>7.0935100000000001E-2</v>
      </c>
      <c r="C14" s="10">
        <v>54.964100000000002</v>
      </c>
      <c r="D14" s="11">
        <v>8.89</v>
      </c>
      <c r="E14" s="6">
        <f t="shared" si="0"/>
        <v>46.074100000000001</v>
      </c>
      <c r="F14" s="12">
        <v>1.556</v>
      </c>
      <c r="G14" s="20" t="s">
        <v>46</v>
      </c>
      <c r="H14">
        <v>5.7632899999999999E-4</v>
      </c>
      <c r="I14">
        <v>-2.7645600000000001E-4</v>
      </c>
      <c r="J14">
        <f>-4.09083*10^-6</f>
        <v>-4.0908300000000003E-6</v>
      </c>
      <c r="K14" s="52">
        <f>4.09083*10^-6</f>
        <v>4.0908300000000003E-6</v>
      </c>
      <c r="L14">
        <v>-8.5278399999999999E-4</v>
      </c>
      <c r="M14">
        <v>-8.5278399999999999E-4</v>
      </c>
      <c r="N14">
        <v>0.98229599999999995</v>
      </c>
    </row>
    <row r="15" spans="1:14" x14ac:dyDescent="0.25">
      <c r="A15" s="10">
        <v>297</v>
      </c>
      <c r="B15" s="10">
        <v>6.3328099999999998E-2</v>
      </c>
      <c r="C15" s="10">
        <v>59.358199999999997</v>
      </c>
      <c r="D15" s="11">
        <v>10.3</v>
      </c>
      <c r="E15" s="6">
        <f t="shared" si="0"/>
        <v>49.058199999999999</v>
      </c>
      <c r="F15" s="12">
        <v>1.5469999999999999</v>
      </c>
      <c r="G15" s="20" t="s">
        <v>46</v>
      </c>
      <c r="H15">
        <v>7.0153100000000003E-4</v>
      </c>
      <c r="I15">
        <v>-3.3385700000000001E-4</v>
      </c>
      <c r="J15">
        <f>-7.94608*10^-6</f>
        <v>-7.9460800000000003E-6</v>
      </c>
      <c r="K15" s="52">
        <f>7.94608*10^-6</f>
        <v>7.9460800000000003E-6</v>
      </c>
      <c r="L15">
        <v>-1.03539E-3</v>
      </c>
      <c r="M15">
        <v>-1.03539E-3</v>
      </c>
      <c r="N15">
        <v>0.95686599999999999</v>
      </c>
    </row>
    <row r="16" spans="1:14" x14ac:dyDescent="0.25">
      <c r="A16" s="10">
        <v>348</v>
      </c>
      <c r="B16" s="10">
        <v>6.16967E-2</v>
      </c>
      <c r="C16" s="10">
        <v>63.7532</v>
      </c>
      <c r="D16" s="11">
        <v>11.45</v>
      </c>
      <c r="E16" s="6">
        <f t="shared" si="0"/>
        <v>52.303200000000004</v>
      </c>
      <c r="F16" s="12">
        <v>1.554</v>
      </c>
      <c r="G16" s="20" t="s">
        <v>46</v>
      </c>
      <c r="H16">
        <v>7.4711500000000002E-4</v>
      </c>
      <c r="I16">
        <v>-3.6846099999999999E-4</v>
      </c>
      <c r="J16">
        <f>-6.18937*10^-6</f>
        <v>-6.18937E-6</v>
      </c>
      <c r="K16" s="52">
        <f>6.18937*10^-6</f>
        <v>6.18937E-6</v>
      </c>
      <c r="L16">
        <v>-1.1155799999999999E-3</v>
      </c>
      <c r="M16">
        <v>-1.1155799999999999E-3</v>
      </c>
      <c r="N16">
        <v>0.94347800000000004</v>
      </c>
    </row>
    <row r="17" spans="1:14" x14ac:dyDescent="0.25">
      <c r="A17" s="10">
        <v>379</v>
      </c>
      <c r="B17" s="10">
        <v>6.1680100000000002E-2</v>
      </c>
      <c r="C17" s="10">
        <v>59.1539</v>
      </c>
      <c r="D17" s="11">
        <v>11</v>
      </c>
      <c r="E17" s="6">
        <f t="shared" si="0"/>
        <v>48.1539</v>
      </c>
      <c r="F17" s="12">
        <v>1.5549999999999999</v>
      </c>
      <c r="G17" s="20" t="s">
        <v>46</v>
      </c>
      <c r="H17">
        <v>5.6360299999999998E-4</v>
      </c>
      <c r="I17">
        <v>-2.8622800000000002E-4</v>
      </c>
      <c r="J17">
        <f>-4.52173*10^-6</f>
        <v>-4.5217299999999998E-6</v>
      </c>
      <c r="K17" s="52">
        <f>4.52173*10^-6</f>
        <v>4.5217299999999998E-6</v>
      </c>
      <c r="L17">
        <v>-8.4983200000000002E-4</v>
      </c>
      <c r="M17">
        <v>-8.4983200000000002E-4</v>
      </c>
      <c r="N17">
        <v>0.97334600000000004</v>
      </c>
    </row>
    <row r="18" spans="1:14" x14ac:dyDescent="0.25">
      <c r="A18" s="10">
        <v>396</v>
      </c>
      <c r="B18" s="10">
        <v>6.7317799999999997E-2</v>
      </c>
      <c r="C18" s="10">
        <v>54.714300000000001</v>
      </c>
      <c r="D18" s="11">
        <v>10.210000000000001</v>
      </c>
      <c r="E18" s="6">
        <f t="shared" si="0"/>
        <v>44.504300000000001</v>
      </c>
      <c r="F18" s="12">
        <v>1.5509999999999999</v>
      </c>
      <c r="G18" s="20" t="s">
        <v>46</v>
      </c>
      <c r="H18">
        <v>5.6005599999999997E-4</v>
      </c>
      <c r="I18">
        <v>-2.76397E-4</v>
      </c>
      <c r="J18">
        <f>-5.47236*10^-6</f>
        <v>-5.4723600000000001E-6</v>
      </c>
      <c r="K18" s="52">
        <f>5.47236*10^-6</f>
        <v>5.4723600000000001E-6</v>
      </c>
      <c r="L18">
        <v>-8.3645300000000002E-4</v>
      </c>
      <c r="M18">
        <v>-8.3645300000000002E-4</v>
      </c>
      <c r="N18">
        <v>0.96460599999999996</v>
      </c>
    </row>
    <row r="19" spans="1:14" x14ac:dyDescent="0.25">
      <c r="A19" s="10">
        <v>421</v>
      </c>
      <c r="B19" s="10">
        <v>7.0459099999999997E-2</v>
      </c>
      <c r="C19" s="10">
        <v>47.594900000000003</v>
      </c>
      <c r="D19" s="11">
        <v>8.89</v>
      </c>
      <c r="E19" s="6">
        <f t="shared" si="0"/>
        <v>38.704900000000002</v>
      </c>
      <c r="F19" s="12">
        <v>1.5409999999999999</v>
      </c>
      <c r="G19" s="20" t="s">
        <v>46</v>
      </c>
      <c r="H19">
        <v>4.77238E-4</v>
      </c>
      <c r="I19">
        <v>-2.33475E-4</v>
      </c>
      <c r="J19">
        <f>-6.95875*10^-6</f>
        <v>-6.9587500000000001E-6</v>
      </c>
      <c r="K19" s="52">
        <f>6.95875*10^-6</f>
        <v>6.9587500000000001E-6</v>
      </c>
      <c r="L19">
        <v>-7.1071199999999995E-4</v>
      </c>
      <c r="M19">
        <v>-7.1071199999999995E-4</v>
      </c>
      <c r="N19">
        <v>0.97306499999999996</v>
      </c>
    </row>
    <row r="20" spans="1:14" x14ac:dyDescent="0.25">
      <c r="A20" s="10">
        <v>453</v>
      </c>
      <c r="B20" s="10">
        <v>5.8432600000000001E-2</v>
      </c>
      <c r="C20" s="10">
        <v>63.382100000000001</v>
      </c>
      <c r="D20" s="11">
        <v>11.83</v>
      </c>
      <c r="E20" s="6">
        <f t="shared" si="0"/>
        <v>51.552100000000003</v>
      </c>
      <c r="F20" s="12">
        <v>1.546</v>
      </c>
      <c r="G20" s="20" t="s">
        <v>46</v>
      </c>
      <c r="H20">
        <v>7.6623399999999997E-4</v>
      </c>
      <c r="I20">
        <v>-3.5908199999999999E-4</v>
      </c>
      <c r="J20">
        <f>-8.90574*10^-6</f>
        <v>-8.9057399999999995E-6</v>
      </c>
      <c r="K20" s="52">
        <f>8.90574*10^-6</f>
        <v>8.9057399999999995E-6</v>
      </c>
      <c r="L20">
        <v>-1.12532E-3</v>
      </c>
      <c r="M20">
        <v>-1.12532E-3</v>
      </c>
      <c r="N20">
        <v>0.95660000000000001</v>
      </c>
    </row>
    <row r="21" spans="1:14" ht="15.75" thickBot="1" x14ac:dyDescent="0.3">
      <c r="A21" s="37">
        <v>514</v>
      </c>
      <c r="B21" s="37">
        <v>7.0040599999999995E-2</v>
      </c>
      <c r="C21" s="37">
        <v>55</v>
      </c>
      <c r="D21" s="73">
        <v>16.5</v>
      </c>
      <c r="E21" s="6">
        <f t="shared" si="0"/>
        <v>38.5</v>
      </c>
      <c r="F21" s="74">
        <v>1.5509999999999999</v>
      </c>
      <c r="G21" s="76" t="s">
        <v>46</v>
      </c>
      <c r="H21">
        <v>6.1234199999999999E-4</v>
      </c>
      <c r="I21">
        <v>-2.9262899999999998E-4</v>
      </c>
      <c r="J21">
        <f>-5.79373*10^-6</f>
        <v>-5.7937299999999997E-6</v>
      </c>
      <c r="K21" s="52">
        <f>5.79373*10^-6</f>
        <v>5.7937299999999997E-6</v>
      </c>
      <c r="L21">
        <v>-9.0496999999999995E-4</v>
      </c>
      <c r="M21">
        <v>-9.0496999999999995E-4</v>
      </c>
      <c r="N21">
        <v>0.96743100000000004</v>
      </c>
    </row>
    <row r="22" spans="1:14" x14ac:dyDescent="0.25">
      <c r="A22" s="38" t="s">
        <v>6</v>
      </c>
      <c r="B22" s="39">
        <f>AVERAGE(B9:B21)</f>
        <v>6.6484523076923083E-2</v>
      </c>
      <c r="C22" s="39">
        <f>AVERAGE(C7:C21)</f>
        <v>59.016273333333338</v>
      </c>
      <c r="D22" s="39">
        <f t="shared" ref="D22:F22" si="1">AVERAGE(D7:D21)</f>
        <v>12.031333333333338</v>
      </c>
      <c r="E22" s="39">
        <f>AVERAGE(E4:E21)</f>
        <v>47.755050000000004</v>
      </c>
      <c r="F22" s="39">
        <f t="shared" si="1"/>
        <v>1.5508666666666666</v>
      </c>
      <c r="G22" s="77" t="s">
        <v>52</v>
      </c>
      <c r="H22" s="39">
        <f>-AVERAGE(H4:H21)</f>
        <v>-6.585807777777777E-4</v>
      </c>
      <c r="I22" s="39">
        <f>-AVERAGE(I4:I21)</f>
        <v>3.1541266666666669E-4</v>
      </c>
      <c r="J22" s="39">
        <f t="shared" ref="J22:N22" si="2">AVERAGE(J4:J21)</f>
        <v>-5.7669255555555548E-6</v>
      </c>
      <c r="K22" s="39">
        <f t="shared" si="2"/>
        <v>5.7669255555555548E-6</v>
      </c>
      <c r="L22" s="39">
        <f t="shared" si="2"/>
        <v>-9.7399400000000005E-4</v>
      </c>
      <c r="M22" s="39">
        <f t="shared" si="2"/>
        <v>-9.7399400000000005E-4</v>
      </c>
      <c r="N22" s="60">
        <f t="shared" si="2"/>
        <v>0.94387394444444461</v>
      </c>
    </row>
    <row r="23" spans="1:14" ht="15.75" thickBot="1" x14ac:dyDescent="0.3">
      <c r="A23" s="18" t="s">
        <v>7</v>
      </c>
      <c r="B23" s="19">
        <f>_xlfn.STDEV.P(B9:B21)</f>
        <v>6.831227782217804E-3</v>
      </c>
      <c r="C23" s="19">
        <f>_xlfn.STDEV.P(C7:C21)</f>
        <v>7.3639528035302106</v>
      </c>
      <c r="D23" s="19">
        <f t="shared" ref="D23:F23" si="3">_xlfn.STDEV.P(D7:D21)</f>
        <v>5.6623915638378559</v>
      </c>
      <c r="E23" s="19">
        <f>_xlfn.STDEV.P(E4:E21)</f>
        <v>7.5744036737957448</v>
      </c>
      <c r="F23" s="19">
        <f t="shared" si="3"/>
        <v>8.0155404614342292E-3</v>
      </c>
      <c r="G23" s="78" t="s">
        <v>53</v>
      </c>
      <c r="H23" s="19">
        <f>_xlfn.STDEV.P(H4:H21)</f>
        <v>1.0927166488799859E-4</v>
      </c>
      <c r="I23" s="19">
        <f t="shared" ref="I23:N23" si="4">_xlfn.STDEV.P(I4:I21)</f>
        <v>5.7826159847137241E-5</v>
      </c>
      <c r="J23" s="19">
        <f t="shared" si="4"/>
        <v>2.0335534274330465E-6</v>
      </c>
      <c r="K23" s="19">
        <f t="shared" si="4"/>
        <v>2.0335534274330465E-6</v>
      </c>
      <c r="L23" s="19">
        <f t="shared" si="4"/>
        <v>1.6194991084763079E-4</v>
      </c>
      <c r="M23" s="19">
        <f t="shared" si="4"/>
        <v>1.6194991084763079E-4</v>
      </c>
      <c r="N23" s="62">
        <f t="shared" si="4"/>
        <v>3.5590846128795262E-2</v>
      </c>
    </row>
    <row r="24" spans="1:14" x14ac:dyDescent="0.25">
      <c r="A24" s="16" t="s">
        <v>8</v>
      </c>
      <c r="B24" s="17">
        <f>B22+B23</f>
        <v>7.3315750859140882E-2</v>
      </c>
      <c r="C24" s="17">
        <f t="shared" ref="C24" si="5">C22+C23</f>
        <v>66.380226136863541</v>
      </c>
    </row>
    <row r="25" spans="1:14" ht="15.75" thickBot="1" x14ac:dyDescent="0.3">
      <c r="A25" s="18" t="s">
        <v>9</v>
      </c>
      <c r="B25" s="19">
        <f>B22-B23</f>
        <v>5.9653295294705276E-2</v>
      </c>
      <c r="C25" s="19">
        <f t="shared" ref="C25" si="6">C22-C23</f>
        <v>51.652320529803127</v>
      </c>
    </row>
  </sheetData>
  <mergeCells count="1"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P30"/>
  <sheetViews>
    <sheetView workbookViewId="0">
      <selection activeCell="H28" sqref="H28"/>
    </sheetView>
  </sheetViews>
  <sheetFormatPr defaultRowHeight="15" x14ac:dyDescent="0.25"/>
  <cols>
    <col min="1" max="1" width="12.7109375" bestFit="1" customWidth="1"/>
    <col min="7" max="7" width="12.85546875" bestFit="1" customWidth="1"/>
    <col min="8" max="9" width="12.7109375" bestFit="1" customWidth="1"/>
    <col min="11" max="11" width="12" bestFit="1" customWidth="1"/>
    <col min="12" max="12" width="12.7109375" bestFit="1" customWidth="1"/>
    <col min="14" max="14" width="8.5703125" customWidth="1"/>
  </cols>
  <sheetData>
    <row r="1" spans="1:16" ht="15.75" thickBot="1" x14ac:dyDescent="0.3"/>
    <row r="2" spans="1:16" x14ac:dyDescent="0.25">
      <c r="A2" s="212" t="s">
        <v>11</v>
      </c>
      <c r="B2" s="213"/>
      <c r="C2" s="213"/>
      <c r="D2" s="214"/>
      <c r="E2" s="51"/>
      <c r="F2" s="51"/>
    </row>
    <row r="3" spans="1:16" ht="45" x14ac:dyDescent="0.25">
      <c r="A3" s="1" t="s">
        <v>1</v>
      </c>
      <c r="B3" s="2" t="s">
        <v>2</v>
      </c>
      <c r="C3" s="2" t="s">
        <v>14</v>
      </c>
      <c r="D3" s="3" t="s">
        <v>4</v>
      </c>
      <c r="E3" s="2" t="s">
        <v>3</v>
      </c>
      <c r="F3" s="2" t="s">
        <v>44</v>
      </c>
      <c r="G3" s="4" t="s">
        <v>5</v>
      </c>
      <c r="H3" s="3" t="s">
        <v>37</v>
      </c>
      <c r="I3" s="50" t="s">
        <v>39</v>
      </c>
      <c r="J3" s="50" t="s">
        <v>41</v>
      </c>
      <c r="K3" s="50" t="s">
        <v>38</v>
      </c>
      <c r="L3" s="3" t="s">
        <v>42</v>
      </c>
      <c r="M3" s="3" t="s">
        <v>40</v>
      </c>
      <c r="N3" s="50" t="s">
        <v>43</v>
      </c>
    </row>
    <row r="4" spans="1:16" x14ac:dyDescent="0.25">
      <c r="A4" s="5">
        <v>0</v>
      </c>
      <c r="B4" s="6">
        <v>0.149981</v>
      </c>
      <c r="C4" s="6">
        <v>17.666699999999999</v>
      </c>
      <c r="D4" s="7">
        <v>1.5189999999999999</v>
      </c>
      <c r="E4" s="6">
        <v>1.87</v>
      </c>
      <c r="F4" s="6">
        <f>C4-E4</f>
        <v>15.796699999999998</v>
      </c>
      <c r="G4" s="4" t="s">
        <v>47</v>
      </c>
      <c r="H4">
        <v>6.6551500000000001E-5</v>
      </c>
      <c r="I4">
        <v>-1.21762E-4</v>
      </c>
      <c r="J4">
        <f>-6.31247*10^-6</f>
        <v>-6.3124699999999997E-6</v>
      </c>
      <c r="K4">
        <f>6.31247*10^-6</f>
        <v>6.3124699999999997E-6</v>
      </c>
      <c r="L4">
        <v>-1.8831300000000001E-4</v>
      </c>
      <c r="M4">
        <v>-1.8831300000000001E-4</v>
      </c>
      <c r="N4">
        <v>0.997475</v>
      </c>
    </row>
    <row r="5" spans="1:16" x14ac:dyDescent="0.25">
      <c r="A5" s="5">
        <v>18</v>
      </c>
      <c r="B5" s="6">
        <v>0.16578200000000001</v>
      </c>
      <c r="C5" s="6">
        <v>20.423100000000002</v>
      </c>
      <c r="D5" s="7">
        <v>1.5449999999999999</v>
      </c>
      <c r="E5" s="6">
        <v>2.15</v>
      </c>
      <c r="F5" s="6">
        <f t="shared" ref="F5:F26" si="0">C5-E5</f>
        <v>18.273100000000003</v>
      </c>
      <c r="G5" s="4" t="s">
        <v>47</v>
      </c>
      <c r="H5">
        <v>1.36179E-4</v>
      </c>
      <c r="I5">
        <v>-7.8237299999999997E-5</v>
      </c>
      <c r="J5">
        <f>-2.01868*10^-6</f>
        <v>-2.0186799999999997E-6</v>
      </c>
      <c r="K5">
        <f>2.01868*10^-6</f>
        <v>2.0186799999999997E-6</v>
      </c>
      <c r="L5">
        <v>-2.1441599999999999E-4</v>
      </c>
      <c r="M5">
        <v>-2.1441599999999999E-4</v>
      </c>
      <c r="N5">
        <v>0.99760599999999999</v>
      </c>
    </row>
    <row r="6" spans="1:16" x14ac:dyDescent="0.25">
      <c r="A6" s="5">
        <v>51</v>
      </c>
      <c r="B6" s="6">
        <v>0.15678400000000001</v>
      </c>
      <c r="C6" s="6">
        <v>20.423100000000002</v>
      </c>
      <c r="D6" s="7">
        <v>1.538</v>
      </c>
      <c r="E6" s="6">
        <v>2.15</v>
      </c>
      <c r="F6" s="6">
        <f t="shared" si="0"/>
        <v>18.273100000000003</v>
      </c>
      <c r="G6" s="4" t="s">
        <v>47</v>
      </c>
      <c r="H6">
        <v>1.2840700000000001E-4</v>
      </c>
      <c r="I6">
        <v>-8.8629500000000002E-5</v>
      </c>
      <c r="J6">
        <f>-2.90777*10^-6</f>
        <v>-2.9077699999999999E-6</v>
      </c>
      <c r="K6">
        <f>2.90777*10^-6</f>
        <v>2.9077699999999999E-6</v>
      </c>
      <c r="L6">
        <v>-2.17037E-4</v>
      </c>
      <c r="M6">
        <v>-2.17037E-4</v>
      </c>
      <c r="N6">
        <v>0.99782300000000002</v>
      </c>
    </row>
    <row r="7" spans="1:16" x14ac:dyDescent="0.25">
      <c r="A7" s="10">
        <v>66</v>
      </c>
      <c r="B7" s="10">
        <v>0.167461</v>
      </c>
      <c r="C7" s="11">
        <v>20.423100000000002</v>
      </c>
      <c r="D7" s="12">
        <v>1.552</v>
      </c>
      <c r="E7" s="11">
        <v>2.15</v>
      </c>
      <c r="F7" s="6">
        <f t="shared" si="0"/>
        <v>18.273100000000003</v>
      </c>
      <c r="G7" s="4" t="s">
        <v>47</v>
      </c>
      <c r="H7">
        <v>1.2855399999999999E-4</v>
      </c>
      <c r="I7">
        <v>-7.4647299999999999E-5</v>
      </c>
      <c r="J7">
        <f>-1.40326*10^-6</f>
        <v>-1.4032599999999999E-6</v>
      </c>
      <c r="K7">
        <f>1.40326*10^-6</f>
        <v>1.4032599999999999E-6</v>
      </c>
      <c r="L7">
        <v>-2.0320200000000001E-4</v>
      </c>
      <c r="M7">
        <v>-2.0320200000000001E-4</v>
      </c>
      <c r="N7">
        <v>0.997811</v>
      </c>
    </row>
    <row r="8" spans="1:16" x14ac:dyDescent="0.25">
      <c r="A8" s="22">
        <v>117</v>
      </c>
      <c r="B8" s="22">
        <v>8.0579200000000004E-2</v>
      </c>
      <c r="C8" s="24">
        <v>19.481999999999999</v>
      </c>
      <c r="D8" s="25">
        <v>1.496</v>
      </c>
      <c r="E8" s="24">
        <v>4.57</v>
      </c>
      <c r="F8" s="6">
        <f t="shared" si="0"/>
        <v>14.911999999999999</v>
      </c>
      <c r="G8" s="4" t="s">
        <v>47</v>
      </c>
      <c r="H8" s="8">
        <v>-2.5019700000000002E-4</v>
      </c>
      <c r="I8">
        <v>-4.9607500000000001E-4</v>
      </c>
      <c r="J8">
        <v>-3.71739E-5</v>
      </c>
      <c r="K8">
        <v>3.71739E-5</v>
      </c>
      <c r="L8">
        <v>-2.4587799999999999E-4</v>
      </c>
      <c r="M8">
        <v>-2.4587799999999999E-4</v>
      </c>
      <c r="N8">
        <v>0.99445600000000001</v>
      </c>
    </row>
    <row r="9" spans="1:16" x14ac:dyDescent="0.25">
      <c r="A9" s="22">
        <v>140</v>
      </c>
      <c r="B9" s="22">
        <v>0.13800100000000001</v>
      </c>
      <c r="C9" s="24">
        <v>18.178599999999999</v>
      </c>
      <c r="D9" s="25">
        <v>1.4970000000000001</v>
      </c>
      <c r="E9" s="24">
        <v>6.14</v>
      </c>
      <c r="F9" s="6">
        <f t="shared" si="0"/>
        <v>12.038599999999999</v>
      </c>
      <c r="G9" s="4" t="s">
        <v>47</v>
      </c>
      <c r="H9">
        <v>1.0467300000000001E-4</v>
      </c>
      <c r="I9">
        <v>-1.26296E-4</v>
      </c>
      <c r="J9">
        <f>-9.33713*10^-6</f>
        <v>-9.3371299999999995E-6</v>
      </c>
      <c r="K9">
        <f>9.33713*10^-6</f>
        <v>9.3371299999999995E-6</v>
      </c>
      <c r="L9">
        <v>-2.30969E-4</v>
      </c>
      <c r="M9">
        <v>-2.30969E-4</v>
      </c>
      <c r="N9">
        <v>0.99477099999999996</v>
      </c>
    </row>
    <row r="10" spans="1:16" x14ac:dyDescent="0.25">
      <c r="A10" s="22">
        <v>183</v>
      </c>
      <c r="B10" s="22">
        <v>9.9866899999999995E-2</v>
      </c>
      <c r="C10" s="24">
        <v>22.7273</v>
      </c>
      <c r="D10" s="25">
        <v>1.496</v>
      </c>
      <c r="E10" s="24">
        <v>10.5</v>
      </c>
      <c r="F10" s="6">
        <f t="shared" si="0"/>
        <v>12.2273</v>
      </c>
      <c r="G10" s="4" t="s">
        <v>47</v>
      </c>
      <c r="H10">
        <v>1.5884499999999999E-4</v>
      </c>
      <c r="I10">
        <v>-1.13677E-4</v>
      </c>
      <c r="J10">
        <f>-8.5185*10^-6</f>
        <v>-8.5184999999999998E-6</v>
      </c>
      <c r="K10">
        <f>8.5185*10^-6</f>
        <v>8.5184999999999998E-6</v>
      </c>
      <c r="L10">
        <v>-2.7252100000000002E-4</v>
      </c>
      <c r="M10">
        <v>-2.7252100000000002E-4</v>
      </c>
      <c r="N10">
        <v>0.99397400000000002</v>
      </c>
    </row>
    <row r="11" spans="1:16" x14ac:dyDescent="0.25">
      <c r="A11" s="22">
        <v>214</v>
      </c>
      <c r="B11" s="26">
        <v>0.159993</v>
      </c>
      <c r="C11" s="28">
        <v>21.576599999999999</v>
      </c>
      <c r="D11" s="25">
        <v>1.5309999999999999</v>
      </c>
      <c r="E11" s="28">
        <v>2.35</v>
      </c>
      <c r="F11" s="6">
        <f t="shared" si="0"/>
        <v>19.226599999999998</v>
      </c>
      <c r="G11" s="4" t="s">
        <v>47</v>
      </c>
      <c r="H11">
        <v>1.78142E-4</v>
      </c>
      <c r="I11">
        <v>-8.73059E-5</v>
      </c>
      <c r="J11">
        <f>-3.47629*10^-6</f>
        <v>-3.4762899999999998E-6</v>
      </c>
      <c r="K11">
        <f>3.47629*10^-6</f>
        <v>3.4762899999999998E-6</v>
      </c>
      <c r="L11">
        <v>-2.65448E-4</v>
      </c>
      <c r="M11">
        <v>-2.65448E-4</v>
      </c>
      <c r="N11">
        <v>0.99707999999999997</v>
      </c>
    </row>
    <row r="12" spans="1:16" x14ac:dyDescent="0.25">
      <c r="A12" s="22">
        <v>243</v>
      </c>
      <c r="B12" s="22">
        <v>0.17399000000000001</v>
      </c>
      <c r="C12" s="24">
        <v>19.285699999999999</v>
      </c>
      <c r="D12" s="25">
        <v>1.5369999999999999</v>
      </c>
      <c r="E12" s="24">
        <v>2.11</v>
      </c>
      <c r="F12" s="6">
        <f t="shared" si="0"/>
        <v>17.175699999999999</v>
      </c>
      <c r="G12" s="13"/>
      <c r="H12">
        <v>1.3512299999999999E-4</v>
      </c>
      <c r="I12">
        <v>-7.7491199999999994E-5</v>
      </c>
      <c r="J12">
        <f>-2.61991*10^-6</f>
        <v>-2.61991E-6</v>
      </c>
      <c r="K12">
        <f>2.61991*10^-6</f>
        <v>2.61991E-6</v>
      </c>
      <c r="L12">
        <v>-2.1261399999999999E-4</v>
      </c>
      <c r="M12">
        <v>-2.1261399999999999E-4</v>
      </c>
      <c r="N12">
        <v>0.99825600000000003</v>
      </c>
    </row>
    <row r="13" spans="1:16" x14ac:dyDescent="0.25">
      <c r="A13" s="22">
        <v>272</v>
      </c>
      <c r="B13" s="22">
        <v>0.13678899999999999</v>
      </c>
      <c r="C13" s="24">
        <v>20.239999999999998</v>
      </c>
      <c r="D13" s="25">
        <v>1.498</v>
      </c>
      <c r="E13" s="24">
        <v>6.48</v>
      </c>
      <c r="F13" s="6">
        <f t="shared" si="0"/>
        <v>13.759999999999998</v>
      </c>
      <c r="G13" s="13"/>
      <c r="H13">
        <v>1.6410099999999999E-4</v>
      </c>
      <c r="I13">
        <v>-1.07688E-4</v>
      </c>
      <c r="J13">
        <f>-7.85314*10^-6</f>
        <v>-7.8531399999999988E-6</v>
      </c>
      <c r="K13">
        <f>7.85314*10^-6</f>
        <v>7.8531399999999988E-6</v>
      </c>
      <c r="L13">
        <v>-2.7178800000000002E-4</v>
      </c>
      <c r="M13">
        <v>-2.7178800000000002E-4</v>
      </c>
      <c r="N13">
        <v>0.99071399999999998</v>
      </c>
    </row>
    <row r="14" spans="1:16" x14ac:dyDescent="0.25">
      <c r="A14" s="22">
        <v>295</v>
      </c>
      <c r="B14" s="22">
        <v>0.13841000000000001</v>
      </c>
      <c r="C14" s="24">
        <v>18.8447</v>
      </c>
      <c r="D14" s="25">
        <v>1.486</v>
      </c>
      <c r="E14" s="24">
        <v>7.53</v>
      </c>
      <c r="F14" s="6">
        <f t="shared" si="0"/>
        <v>11.314699999999998</v>
      </c>
      <c r="G14" s="13"/>
      <c r="H14">
        <v>1.5123E-4</v>
      </c>
      <c r="I14">
        <v>-9.0935300000000003E-5</v>
      </c>
      <c r="J14">
        <f>-7.72951*10^-6</f>
        <v>-7.7295100000000001E-6</v>
      </c>
      <c r="K14">
        <f>7.72951*10^-6</f>
        <v>7.7295100000000001E-6</v>
      </c>
      <c r="L14">
        <v>-2.42165E-4</v>
      </c>
      <c r="M14">
        <v>-2.42165E-4</v>
      </c>
      <c r="N14">
        <v>0.99262899999999998</v>
      </c>
    </row>
    <row r="15" spans="1:16" x14ac:dyDescent="0.25">
      <c r="A15" s="22">
        <v>322</v>
      </c>
      <c r="B15" s="22">
        <v>0.15726599999999999</v>
      </c>
      <c r="C15" s="24">
        <v>19.538499999999999</v>
      </c>
      <c r="D15" s="25">
        <v>1.502</v>
      </c>
      <c r="E15" s="24">
        <v>7.23</v>
      </c>
      <c r="F15" s="6">
        <f t="shared" si="0"/>
        <v>12.308499999999999</v>
      </c>
      <c r="G15" s="13"/>
      <c r="H15">
        <v>1.67069E-4</v>
      </c>
      <c r="I15">
        <v>-9.26182E-5</v>
      </c>
      <c r="J15">
        <f>-6.38186*10^-6</f>
        <v>-6.3818599999999996E-6</v>
      </c>
      <c r="K15">
        <f>6.38186*10^-6</f>
        <v>6.3818599999999996E-6</v>
      </c>
      <c r="L15">
        <v>-2.59688E-4</v>
      </c>
      <c r="M15">
        <v>-2.59688E-4</v>
      </c>
      <c r="N15">
        <v>0.99393299999999996</v>
      </c>
      <c r="P15">
        <f>I8-H8</f>
        <v>-2.4587799999999999E-4</v>
      </c>
    </row>
    <row r="16" spans="1:16" x14ac:dyDescent="0.25">
      <c r="A16" s="22">
        <v>343</v>
      </c>
      <c r="B16" s="22">
        <v>0.16247600000000001</v>
      </c>
      <c r="C16" s="24">
        <v>17.495100000000001</v>
      </c>
      <c r="D16" s="25">
        <v>1.4890000000000001</v>
      </c>
      <c r="E16" s="24">
        <v>8.5299999999999994</v>
      </c>
      <c r="F16" s="6">
        <f t="shared" si="0"/>
        <v>8.9651000000000014</v>
      </c>
      <c r="G16" s="13"/>
      <c r="H16">
        <v>1.30681E-4</v>
      </c>
      <c r="I16">
        <v>-7.31366E-5</v>
      </c>
      <c r="J16">
        <f>-5.99568*10^-6</f>
        <v>-5.9956799999999995E-6</v>
      </c>
      <c r="K16">
        <f>5.99568*10^-6</f>
        <v>5.9956799999999995E-6</v>
      </c>
      <c r="L16">
        <v>-2.0381699999999999E-4</v>
      </c>
      <c r="M16">
        <v>-2.0381699999999999E-4</v>
      </c>
      <c r="N16">
        <v>0.99363000000000001</v>
      </c>
    </row>
    <row r="17" spans="1:14" x14ac:dyDescent="0.25">
      <c r="A17" s="22">
        <v>367</v>
      </c>
      <c r="B17" s="22">
        <v>0.18435699999999999</v>
      </c>
      <c r="C17" s="24">
        <v>14.911799999999999</v>
      </c>
      <c r="D17" s="25">
        <v>1.4770000000000001</v>
      </c>
      <c r="E17" s="24">
        <v>8.7100000000000009</v>
      </c>
      <c r="F17" s="6">
        <f t="shared" si="0"/>
        <v>6.2017999999999986</v>
      </c>
      <c r="G17" s="13"/>
      <c r="H17">
        <v>8.9649199999999995E-5</v>
      </c>
      <c r="I17">
        <v>-5.8013500000000003E-5</v>
      </c>
      <c r="J17">
        <f>-5.45747*10^-6</f>
        <v>-5.4574699999999994E-6</v>
      </c>
      <c r="K17">
        <f>5.45747*10^-6</f>
        <v>5.4574699999999994E-6</v>
      </c>
      <c r="L17">
        <v>-1.47663E-4</v>
      </c>
      <c r="M17">
        <v>-1.47663E-4</v>
      </c>
      <c r="N17">
        <v>0.99655700000000003</v>
      </c>
    </row>
    <row r="18" spans="1:14" x14ac:dyDescent="0.25">
      <c r="A18" s="22">
        <v>383</v>
      </c>
      <c r="B18" s="22">
        <v>0.17553299999999999</v>
      </c>
      <c r="C18" s="24">
        <v>18.071400000000001</v>
      </c>
      <c r="D18" s="25">
        <v>1.4950000000000001</v>
      </c>
      <c r="E18" s="24">
        <v>8.75</v>
      </c>
      <c r="F18" s="6">
        <f t="shared" si="0"/>
        <v>9.3214000000000006</v>
      </c>
      <c r="G18" s="13"/>
      <c r="H18">
        <v>1.50433E-4</v>
      </c>
      <c r="I18">
        <v>-6.6127800000000001E-5</v>
      </c>
      <c r="J18">
        <f>-5.02187*10^-6</f>
        <v>-5.0218699999999997E-6</v>
      </c>
      <c r="K18">
        <f>5.02187*10^-6</f>
        <v>5.0218699999999997E-6</v>
      </c>
      <c r="L18">
        <v>-2.1656E-4</v>
      </c>
      <c r="M18">
        <v>-2.1656E-4</v>
      </c>
      <c r="N18">
        <v>0.99437299999999995</v>
      </c>
    </row>
    <row r="19" spans="1:14" x14ac:dyDescent="0.25">
      <c r="A19" s="22">
        <v>399</v>
      </c>
      <c r="B19" s="22">
        <v>0.17430000000000001</v>
      </c>
      <c r="C19" s="24">
        <v>19.5</v>
      </c>
      <c r="D19" s="25">
        <v>1.4930000000000001</v>
      </c>
      <c r="E19" s="24">
        <v>10.96</v>
      </c>
      <c r="F19" s="6">
        <f t="shared" si="0"/>
        <v>8.5399999999999991</v>
      </c>
      <c r="G19" s="13"/>
      <c r="H19">
        <v>1.6469999999999999E-4</v>
      </c>
      <c r="I19">
        <v>-4.7457299999999997E-5</v>
      </c>
      <c r="J19">
        <f>-3.69947*10^-6</f>
        <v>-3.6994699999999995E-6</v>
      </c>
      <c r="K19">
        <f>3.69947*10^-6</f>
        <v>3.6994699999999995E-6</v>
      </c>
      <c r="L19">
        <v>-2.1215700000000001E-4</v>
      </c>
      <c r="M19">
        <v>-2.1215700000000001E-4</v>
      </c>
      <c r="N19">
        <v>0.99462700000000004</v>
      </c>
    </row>
    <row r="20" spans="1:14" x14ac:dyDescent="0.25">
      <c r="A20" s="22">
        <v>407</v>
      </c>
      <c r="B20" s="22">
        <v>0.17821500000000001</v>
      </c>
      <c r="C20" s="24">
        <v>18.214300000000001</v>
      </c>
      <c r="D20" s="25">
        <v>1.494</v>
      </c>
      <c r="E20" s="24">
        <v>10.14</v>
      </c>
      <c r="F20" s="6">
        <f t="shared" si="0"/>
        <v>8.0743000000000009</v>
      </c>
      <c r="G20" s="13"/>
      <c r="H20">
        <v>1.4313499999999999E-4</v>
      </c>
      <c r="I20">
        <v>-5.24309E-5</v>
      </c>
      <c r="J20">
        <f>-4.03443*10^-6</f>
        <v>-4.0344300000000003E-6</v>
      </c>
      <c r="K20">
        <f>4.03443*10^-6</f>
        <v>4.0344300000000003E-6</v>
      </c>
      <c r="L20">
        <v>-1.95565E-4</v>
      </c>
      <c r="M20">
        <v>-1.95565E-4</v>
      </c>
      <c r="N20">
        <v>0.99556</v>
      </c>
    </row>
    <row r="21" spans="1:14" x14ac:dyDescent="0.25">
      <c r="A21" s="10">
        <v>414</v>
      </c>
      <c r="B21" s="10">
        <v>0.19106600000000001</v>
      </c>
      <c r="C21" s="11">
        <v>17.793099999999999</v>
      </c>
      <c r="D21" s="12">
        <v>1.5</v>
      </c>
      <c r="E21" s="11">
        <v>10</v>
      </c>
      <c r="F21" s="6">
        <f t="shared" si="0"/>
        <v>7.793099999999999</v>
      </c>
      <c r="G21" s="13"/>
      <c r="H21">
        <v>1.3822199999999999E-4</v>
      </c>
      <c r="I21">
        <v>-5.1171899999999997E-5</v>
      </c>
      <c r="J21">
        <f>-3.62885*10^-6</f>
        <v>-3.6288499999999996E-6</v>
      </c>
      <c r="K21">
        <f>3.62885*10^-6</f>
        <v>3.6288499999999996E-6</v>
      </c>
      <c r="L21">
        <v>-1.8939400000000001E-4</v>
      </c>
      <c r="M21">
        <v>-1.8939400000000001E-4</v>
      </c>
      <c r="N21">
        <v>0.99634800000000001</v>
      </c>
    </row>
    <row r="22" spans="1:14" x14ac:dyDescent="0.25">
      <c r="A22" s="10">
        <v>447</v>
      </c>
      <c r="B22" s="10">
        <v>0.22906099999999999</v>
      </c>
      <c r="C22" s="11">
        <v>14.366</v>
      </c>
      <c r="D22" s="12">
        <v>1.49</v>
      </c>
      <c r="E22" s="11">
        <v>8.36</v>
      </c>
      <c r="F22" s="6">
        <f t="shared" si="0"/>
        <v>6.0060000000000002</v>
      </c>
      <c r="G22" s="13"/>
      <c r="H22">
        <v>1.00065E-4</v>
      </c>
      <c r="I22">
        <v>-4.4454399999999999E-5</v>
      </c>
      <c r="J22">
        <f>-3.59959*10^-6</f>
        <v>-3.59959E-6</v>
      </c>
      <c r="K22">
        <f>3.59959*10^-6</f>
        <v>3.59959E-6</v>
      </c>
      <c r="L22">
        <v>-1.4451899999999999E-4</v>
      </c>
      <c r="M22">
        <v>-1.4451899999999999E-4</v>
      </c>
      <c r="N22">
        <v>0.99874200000000002</v>
      </c>
    </row>
    <row r="23" spans="1:14" x14ac:dyDescent="0.25">
      <c r="A23" s="10">
        <v>523</v>
      </c>
      <c r="B23" s="10">
        <v>0.172657</v>
      </c>
      <c r="C23" s="11">
        <v>18.592600000000001</v>
      </c>
      <c r="D23" s="12">
        <v>1.49</v>
      </c>
      <c r="E23" s="11">
        <v>10.7</v>
      </c>
      <c r="F23" s="6">
        <f t="shared" si="0"/>
        <v>7.8926000000000016</v>
      </c>
      <c r="G23" s="13"/>
      <c r="H23">
        <v>1.46036E-4</v>
      </c>
      <c r="I23">
        <v>-4.7462500000000002E-5</v>
      </c>
      <c r="J23">
        <f>-3.84316*10^-6</f>
        <v>-3.8431599999999996E-6</v>
      </c>
      <c r="K23">
        <f>3.84316*10^-6</f>
        <v>3.8431599999999996E-6</v>
      </c>
      <c r="L23">
        <v>-1.93499E-4</v>
      </c>
      <c r="M23">
        <v>-1.93499E-4</v>
      </c>
      <c r="N23">
        <v>0.994058</v>
      </c>
    </row>
    <row r="24" spans="1:14" x14ac:dyDescent="0.25">
      <c r="A24" s="10">
        <v>586</v>
      </c>
      <c r="B24" s="10">
        <v>0.21643899999999999</v>
      </c>
      <c r="C24" s="11">
        <v>14.161099999999999</v>
      </c>
      <c r="D24" s="12">
        <v>1.48</v>
      </c>
      <c r="E24" s="11">
        <v>8.4</v>
      </c>
      <c r="F24" s="6">
        <f t="shared" si="0"/>
        <v>5.761099999999999</v>
      </c>
      <c r="G24" s="13"/>
      <c r="H24">
        <v>9.2841299999999995E-5</v>
      </c>
      <c r="I24">
        <v>-4.5798699999999999E-5</v>
      </c>
      <c r="J24">
        <f>-4.16982*10^-6</f>
        <v>-4.1698199999999992E-6</v>
      </c>
      <c r="K24">
        <f>4.16982*10^-6</f>
        <v>4.1698199999999992E-6</v>
      </c>
      <c r="L24">
        <v>-1.3863999999999999E-4</v>
      </c>
      <c r="M24">
        <v>-1.3863999999999999E-4</v>
      </c>
      <c r="N24">
        <v>0.99661999999999995</v>
      </c>
    </row>
    <row r="25" spans="1:14" x14ac:dyDescent="0.25">
      <c r="A25" s="10">
        <v>623</v>
      </c>
      <c r="B25" s="10">
        <v>0.183751</v>
      </c>
      <c r="C25" s="11">
        <v>18.035699999999999</v>
      </c>
      <c r="D25" s="12">
        <v>1.492</v>
      </c>
      <c r="E25" s="11">
        <v>10.54</v>
      </c>
      <c r="F25" s="6">
        <f t="shared" si="0"/>
        <v>7.4956999999999994</v>
      </c>
      <c r="G25" s="13"/>
      <c r="H25">
        <v>1.39099E-4</v>
      </c>
      <c r="I25">
        <v>-4.5406900000000001E-5</v>
      </c>
      <c r="J25">
        <f>-3.58532*10^-6</f>
        <v>-3.5853199999999995E-6</v>
      </c>
      <c r="K25">
        <f>3.58532*10^-6</f>
        <v>3.5853199999999995E-6</v>
      </c>
      <c r="L25">
        <v>-1.84506E-4</v>
      </c>
      <c r="M25">
        <v>-1.84506E-4</v>
      </c>
      <c r="N25">
        <v>0.99500500000000003</v>
      </c>
    </row>
    <row r="26" spans="1:14" ht="15.75" thickBot="1" x14ac:dyDescent="0.3">
      <c r="A26" s="37">
        <v>650</v>
      </c>
      <c r="B26" s="37">
        <v>0.18235399999999999</v>
      </c>
      <c r="C26" s="73">
        <v>18.703700000000001</v>
      </c>
      <c r="D26" s="74">
        <v>1.4970000000000001</v>
      </c>
      <c r="E26" s="73">
        <v>10.96</v>
      </c>
      <c r="F26" s="6">
        <f t="shared" si="0"/>
        <v>7.7437000000000005</v>
      </c>
      <c r="G26" s="75"/>
      <c r="H26">
        <v>1.4548100000000001E-4</v>
      </c>
      <c r="I26">
        <v>-4.6044100000000002E-5</v>
      </c>
      <c r="J26">
        <f>-3.40407*10^-6</f>
        <v>-3.4040699999999997E-6</v>
      </c>
      <c r="K26">
        <f>3.40407*10^-6</f>
        <v>3.4040699999999997E-6</v>
      </c>
      <c r="L26">
        <v>-1.9152500000000001E-4</v>
      </c>
      <c r="M26">
        <v>-1.9152500000000001E-4</v>
      </c>
      <c r="N26">
        <v>0.99494700000000003</v>
      </c>
    </row>
    <row r="27" spans="1:14" x14ac:dyDescent="0.25">
      <c r="A27" s="38" t="s">
        <v>6</v>
      </c>
      <c r="B27" s="39">
        <f t="shared" ref="B27:D27" si="1">AVERAGE(B4:B7,B9:B26)</f>
        <v>0.16793331363636366</v>
      </c>
      <c r="C27" s="39">
        <f t="shared" si="1"/>
        <v>18.598736363636363</v>
      </c>
      <c r="D27" s="39">
        <f t="shared" si="1"/>
        <v>1.5044545454545455</v>
      </c>
      <c r="E27" s="39">
        <f>AVERAGE(E4:E7,E9:E26)</f>
        <v>7.1231818181818189</v>
      </c>
      <c r="F27" s="39">
        <f>AVERAGE(F4:F7,F9:F26)</f>
        <v>11.475554545454544</v>
      </c>
      <c r="G27" s="39" t="s">
        <v>52</v>
      </c>
      <c r="H27" s="39">
        <f>-AVERAGE(H4:H7,H9:H26)</f>
        <v>-1.3450986363636362E-4</v>
      </c>
      <c r="I27" s="39">
        <f>-AVERAGE(I4:I7,I9:I26)</f>
        <v>7.4399649999999995E-5</v>
      </c>
      <c r="J27" s="39">
        <f t="shared" ref="J27:N27" si="2">AVERAGE(J4:J7,J9:J26)</f>
        <v>-4.7726477272727267E-6</v>
      </c>
      <c r="K27" s="39">
        <f t="shared" si="2"/>
        <v>4.7726477272727267E-6</v>
      </c>
      <c r="L27" s="39">
        <f t="shared" si="2"/>
        <v>-2.0890936363636363E-4</v>
      </c>
      <c r="M27" s="39">
        <f t="shared" si="2"/>
        <v>-2.0890936363636363E-4</v>
      </c>
      <c r="N27" s="60">
        <f t="shared" si="2"/>
        <v>0.99556995454545427</v>
      </c>
    </row>
    <row r="28" spans="1:14" ht="15.75" thickBot="1" x14ac:dyDescent="0.3">
      <c r="A28" s="18" t="s">
        <v>7</v>
      </c>
      <c r="B28" s="19">
        <f t="shared" ref="B28:D28" si="3">_xlfn.STDEV.P(B4:B7,B9:B26)</f>
        <v>2.6666330636936963E-2</v>
      </c>
      <c r="C28" s="19">
        <f t="shared" si="3"/>
        <v>2.085530188649539</v>
      </c>
      <c r="D28" s="19">
        <f t="shared" si="3"/>
        <v>2.1415218192863052E-2</v>
      </c>
      <c r="E28" s="19">
        <f>_xlfn.STDEV.P(E4:E7,E9:E26)</f>
        <v>3.3320787756207291</v>
      </c>
      <c r="F28" s="19">
        <f>_xlfn.STDEV.P(F4:F7,F9:F26)</f>
        <v>4.4433777899586175</v>
      </c>
      <c r="G28" s="19" t="s">
        <v>53</v>
      </c>
      <c r="H28" s="19">
        <f>_xlfn.STDEV.P(H4:H7,H9:H26)</f>
        <v>2.761176726684979E-5</v>
      </c>
      <c r="I28" s="19">
        <f t="shared" ref="I28:N28" si="4">_xlfn.STDEV.P(I4:I7,I9:I26)</f>
        <v>2.5899742031704942E-5</v>
      </c>
      <c r="J28" s="19">
        <f t="shared" si="4"/>
        <v>2.1074188334848509E-6</v>
      </c>
      <c r="K28" s="19">
        <f t="shared" si="4"/>
        <v>2.1074188334848509E-6</v>
      </c>
      <c r="L28" s="19">
        <f t="shared" si="4"/>
        <v>3.7269825398456125E-5</v>
      </c>
      <c r="M28" s="19">
        <f t="shared" si="4"/>
        <v>3.7269825398456125E-5</v>
      </c>
      <c r="N28" s="62">
        <f t="shared" si="4"/>
        <v>1.9918641674497462E-3</v>
      </c>
    </row>
    <row r="29" spans="1:14" x14ac:dyDescent="0.25">
      <c r="A29" s="16" t="s">
        <v>8</v>
      </c>
      <c r="B29" s="17">
        <f>B27+B28</f>
        <v>0.19459964427330062</v>
      </c>
    </row>
    <row r="30" spans="1:14" ht="15.75" thickBot="1" x14ac:dyDescent="0.3">
      <c r="A30" s="18" t="s">
        <v>9</v>
      </c>
      <c r="B30" s="19">
        <f>B27-B28</f>
        <v>0.14126698299942669</v>
      </c>
    </row>
  </sheetData>
  <mergeCells count="1">
    <mergeCell ref="A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N20"/>
  <sheetViews>
    <sheetView workbookViewId="0">
      <selection activeCell="P33" sqref="P33"/>
    </sheetView>
  </sheetViews>
  <sheetFormatPr defaultRowHeight="15" x14ac:dyDescent="0.25"/>
  <cols>
    <col min="1" max="1" width="8.7109375" customWidth="1"/>
    <col min="2" max="2" width="10.5703125" bestFit="1" customWidth="1"/>
    <col min="3" max="3" width="19.140625" customWidth="1"/>
    <col min="4" max="4" width="8.7109375" bestFit="1" customWidth="1"/>
    <col min="5" max="5" width="8.7109375" customWidth="1"/>
    <col min="6" max="6" width="6" bestFit="1" customWidth="1"/>
    <col min="7" max="7" width="12.5703125" bestFit="1" customWidth="1"/>
    <col min="8" max="8" width="12.7109375" bestFit="1" customWidth="1"/>
    <col min="11" max="11" width="12" bestFit="1" customWidth="1"/>
  </cols>
  <sheetData>
    <row r="1" spans="1:14" ht="15.75" thickBot="1" x14ac:dyDescent="0.3">
      <c r="H1" t="s">
        <v>12</v>
      </c>
    </row>
    <row r="2" spans="1:14" x14ac:dyDescent="0.25">
      <c r="A2" s="212" t="s">
        <v>13</v>
      </c>
      <c r="B2" s="213"/>
      <c r="C2" s="213"/>
      <c r="D2" s="213"/>
      <c r="E2" s="213"/>
      <c r="F2" s="214"/>
    </row>
    <row r="3" spans="1:14" ht="60" x14ac:dyDescent="0.25">
      <c r="A3" s="1" t="s">
        <v>1</v>
      </c>
      <c r="B3" s="2" t="s">
        <v>2</v>
      </c>
      <c r="C3" s="2" t="s">
        <v>14</v>
      </c>
      <c r="D3" s="2" t="s">
        <v>3</v>
      </c>
      <c r="E3" s="2" t="s">
        <v>44</v>
      </c>
      <c r="F3" s="3" t="s">
        <v>4</v>
      </c>
      <c r="G3" s="4" t="s">
        <v>5</v>
      </c>
      <c r="H3" s="3" t="s">
        <v>37</v>
      </c>
      <c r="I3" s="50" t="s">
        <v>39</v>
      </c>
      <c r="J3" s="50" t="s">
        <v>41</v>
      </c>
      <c r="K3" s="50" t="s">
        <v>38</v>
      </c>
      <c r="L3" s="3" t="s">
        <v>42</v>
      </c>
      <c r="M3" s="3" t="s">
        <v>40</v>
      </c>
      <c r="N3" s="50" t="s">
        <v>43</v>
      </c>
    </row>
    <row r="4" spans="1:14" x14ac:dyDescent="0.25">
      <c r="A4" s="22">
        <v>10</v>
      </c>
      <c r="B4">
        <v>0.102544</v>
      </c>
      <c r="C4" s="29">
        <v>21.4815</v>
      </c>
      <c r="D4" s="29">
        <v>2.2200000000000002</v>
      </c>
      <c r="E4" s="29">
        <f>C4-D4</f>
        <v>19.261500000000002</v>
      </c>
      <c r="F4" s="30">
        <v>1.5209999999999999</v>
      </c>
      <c r="G4" s="27" t="s">
        <v>48</v>
      </c>
      <c r="H4" s="8">
        <v>-1.5684200000000001E-5</v>
      </c>
      <c r="I4">
        <v>-2.47304E-4</v>
      </c>
      <c r="J4">
        <v>-1.2325E-5</v>
      </c>
      <c r="K4">
        <v>1.2325E-5</v>
      </c>
      <c r="L4">
        <v>-2.3161899999999999E-4</v>
      </c>
      <c r="M4">
        <v>-2.3161899999999999E-4</v>
      </c>
      <c r="N4">
        <v>0.99799800000000005</v>
      </c>
    </row>
    <row r="5" spans="1:14" x14ac:dyDescent="0.25">
      <c r="A5" s="22">
        <v>144</v>
      </c>
      <c r="B5">
        <v>9.9565200000000006E-2</v>
      </c>
      <c r="C5" s="29">
        <v>26.571400000000001</v>
      </c>
      <c r="D5" s="29">
        <v>3.14</v>
      </c>
      <c r="E5" s="29">
        <f t="shared" ref="E5:E16" si="0">C5-D5</f>
        <v>23.4314</v>
      </c>
      <c r="F5" s="30">
        <v>1.52</v>
      </c>
      <c r="G5" s="27" t="s">
        <v>48</v>
      </c>
      <c r="H5">
        <v>1.77393E-4</v>
      </c>
      <c r="I5">
        <v>-1.5182999999999999E-4</v>
      </c>
      <c r="J5">
        <f>-7.71907*10^-6</f>
        <v>-7.7190699999999999E-6</v>
      </c>
      <c r="K5">
        <f>7.71907*10^-6</f>
        <v>7.7190699999999999E-6</v>
      </c>
      <c r="L5">
        <v>-3.2922399999999998E-4</v>
      </c>
      <c r="M5">
        <v>-3.2922399999999998E-4</v>
      </c>
      <c r="N5">
        <v>0.99259399999999998</v>
      </c>
    </row>
    <row r="6" spans="1:14" x14ac:dyDescent="0.25">
      <c r="A6" s="22">
        <v>158</v>
      </c>
      <c r="B6" s="22">
        <v>9.9770899999999996E-2</v>
      </c>
      <c r="C6" s="22">
        <v>20.703700000000001</v>
      </c>
      <c r="D6" s="24">
        <v>10.039999999999999</v>
      </c>
      <c r="E6" s="29">
        <f t="shared" si="0"/>
        <v>10.663700000000002</v>
      </c>
      <c r="F6" s="25">
        <v>1.5029999999999999</v>
      </c>
      <c r="G6" s="27" t="s">
        <v>48</v>
      </c>
      <c r="H6">
        <v>2.0791399999999999E-5</v>
      </c>
      <c r="I6">
        <v>-2.1143299999999999E-4</v>
      </c>
      <c r="J6">
        <v>-1.43564E-5</v>
      </c>
      <c r="K6">
        <v>1.43564E-5</v>
      </c>
      <c r="L6">
        <v>-2.32224E-4</v>
      </c>
      <c r="M6">
        <v>-2.32224E-4</v>
      </c>
      <c r="N6">
        <v>0.99726700000000001</v>
      </c>
    </row>
    <row r="7" spans="1:14" x14ac:dyDescent="0.25">
      <c r="A7" s="22">
        <v>199</v>
      </c>
      <c r="B7" s="22">
        <v>7.8001000000000001E-2</v>
      </c>
      <c r="C7" s="53">
        <v>21.423100000000002</v>
      </c>
      <c r="D7" s="24">
        <v>3.15</v>
      </c>
      <c r="E7" s="29">
        <f t="shared" si="0"/>
        <v>18.273100000000003</v>
      </c>
      <c r="F7" s="25">
        <v>1.4990000000000001</v>
      </c>
      <c r="G7" s="25"/>
      <c r="H7" s="8">
        <v>-1.08624E-4</v>
      </c>
      <c r="I7">
        <v>-3.7716900000000001E-4</v>
      </c>
      <c r="J7">
        <v>-2.7126000000000001E-5</v>
      </c>
      <c r="K7">
        <v>2.7126000000000001E-5</v>
      </c>
      <c r="L7">
        <v>-2.6854500000000003E-4</v>
      </c>
      <c r="M7">
        <v>-2.6854500000000003E-4</v>
      </c>
      <c r="N7">
        <v>0.99732900000000002</v>
      </c>
    </row>
    <row r="8" spans="1:14" x14ac:dyDescent="0.25">
      <c r="A8" s="22">
        <v>235</v>
      </c>
      <c r="B8" s="13">
        <v>0.11952400000000001</v>
      </c>
      <c r="C8" s="22">
        <v>23.208300000000001</v>
      </c>
      <c r="D8" s="24">
        <v>2.71</v>
      </c>
      <c r="E8" s="29">
        <f t="shared" si="0"/>
        <v>20.4983</v>
      </c>
      <c r="F8" s="25">
        <v>1.5229999999999999</v>
      </c>
      <c r="G8" s="27"/>
      <c r="H8">
        <v>1.38128E-4</v>
      </c>
      <c r="I8">
        <v>-1.32807E-4</v>
      </c>
      <c r="J8">
        <f>-6.35252*10^-6</f>
        <v>-6.3525200000000003E-6</v>
      </c>
      <c r="K8">
        <f>6.35252*10^-6</f>
        <v>6.3525200000000003E-6</v>
      </c>
      <c r="L8">
        <v>-2.7093499999999998E-4</v>
      </c>
      <c r="M8">
        <v>-2.7093499999999998E-4</v>
      </c>
      <c r="N8">
        <v>0.99792599999999998</v>
      </c>
    </row>
    <row r="9" spans="1:14" x14ac:dyDescent="0.25">
      <c r="A9" s="22">
        <v>270</v>
      </c>
      <c r="B9" s="13">
        <v>0.14083599999999999</v>
      </c>
      <c r="C9" s="22">
        <v>19.8323</v>
      </c>
      <c r="D9" s="24">
        <v>5.48</v>
      </c>
      <c r="E9" s="29">
        <f t="shared" si="0"/>
        <v>14.3523</v>
      </c>
      <c r="F9" s="25">
        <v>1.5109999999999999</v>
      </c>
      <c r="G9" s="27"/>
      <c r="H9">
        <v>1.31054E-4</v>
      </c>
      <c r="I9">
        <v>-1.2317099999999999E-4</v>
      </c>
      <c r="J9">
        <f>-7.37396*10^-6</f>
        <v>-7.3739599999999998E-6</v>
      </c>
      <c r="K9">
        <f>7.37396*10^-6</f>
        <v>7.3739599999999998E-6</v>
      </c>
      <c r="L9">
        <v>-2.5422500000000001E-4</v>
      </c>
      <c r="M9">
        <v>-2.5422500000000001E-4</v>
      </c>
      <c r="N9">
        <v>0.99757200000000001</v>
      </c>
    </row>
    <row r="10" spans="1:14" x14ac:dyDescent="0.25">
      <c r="A10" s="22">
        <v>302</v>
      </c>
      <c r="B10" s="22">
        <v>9.5210900000000001E-2</v>
      </c>
      <c r="C10" s="22">
        <v>19.964300000000001</v>
      </c>
      <c r="D10" s="24">
        <v>4</v>
      </c>
      <c r="E10" s="29">
        <f t="shared" si="0"/>
        <v>15.964300000000001</v>
      </c>
      <c r="F10" s="25">
        <v>1.5109999999999999</v>
      </c>
      <c r="G10" s="27"/>
      <c r="H10" s="8">
        <v>-1.25248E-4</v>
      </c>
      <c r="I10">
        <v>-3.6161199999999998E-4</v>
      </c>
      <c r="J10">
        <v>-2.1648899999999999E-5</v>
      </c>
      <c r="K10">
        <v>2.1648899999999999E-5</v>
      </c>
      <c r="L10">
        <v>-2.36364E-4</v>
      </c>
      <c r="M10">
        <v>-2.36364E-4</v>
      </c>
      <c r="N10">
        <v>0.99763100000000005</v>
      </c>
    </row>
    <row r="11" spans="1:14" x14ac:dyDescent="0.25">
      <c r="A11" s="22">
        <v>348</v>
      </c>
      <c r="B11" s="13">
        <v>6.4019099999999995E-2</v>
      </c>
      <c r="C11" s="25">
        <v>24.380199999999999</v>
      </c>
      <c r="D11" s="25">
        <v>7.8</v>
      </c>
      <c r="E11" s="29">
        <f t="shared" si="0"/>
        <v>16.580199999999998</v>
      </c>
      <c r="F11" s="25">
        <v>1.5129999999999999</v>
      </c>
      <c r="G11" s="27"/>
      <c r="H11" s="8">
        <v>-3.8273300000000001E-4</v>
      </c>
      <c r="I11">
        <v>-6.8532399999999996E-4</v>
      </c>
      <c r="J11">
        <v>-3.9653400000000002E-5</v>
      </c>
      <c r="K11">
        <v>3.9653400000000002E-5</v>
      </c>
      <c r="L11">
        <v>-3.02591E-4</v>
      </c>
      <c r="M11">
        <v>-3.02591E-4</v>
      </c>
      <c r="N11">
        <v>0.99326300000000001</v>
      </c>
    </row>
    <row r="12" spans="1:14" x14ac:dyDescent="0.25">
      <c r="A12" s="22">
        <v>393</v>
      </c>
      <c r="B12" s="13">
        <v>0.12917899999999999</v>
      </c>
      <c r="C12" s="22">
        <v>19.206900000000001</v>
      </c>
      <c r="D12" s="24">
        <v>10.59</v>
      </c>
      <c r="E12" s="29">
        <f t="shared" si="0"/>
        <v>8.6169000000000011</v>
      </c>
      <c r="F12" s="25">
        <v>1.5109999999999999</v>
      </c>
      <c r="G12" s="27"/>
      <c r="H12">
        <v>5.77528E-5</v>
      </c>
      <c r="I12">
        <v>-1.3716800000000001E-4</v>
      </c>
      <c r="J12">
        <f>-8.21192*10^-6</f>
        <v>-8.2119199999999981E-6</v>
      </c>
      <c r="K12">
        <f>8.21192*10^-6</f>
        <v>8.2119199999999981E-6</v>
      </c>
      <c r="L12">
        <v>-1.94921E-4</v>
      </c>
      <c r="M12">
        <v>-1.94921E-4</v>
      </c>
      <c r="N12">
        <v>0.99833799999999995</v>
      </c>
    </row>
    <row r="13" spans="1:14" x14ac:dyDescent="0.25">
      <c r="A13" s="22">
        <v>455</v>
      </c>
      <c r="B13" s="27">
        <v>0.12876299999999999</v>
      </c>
      <c r="C13" s="22">
        <v>19.928599999999999</v>
      </c>
      <c r="D13" s="24">
        <v>13.75</v>
      </c>
      <c r="E13" s="29">
        <f t="shared" si="0"/>
        <v>6.1785999999999994</v>
      </c>
      <c r="F13" s="25">
        <v>1.5049999999999999</v>
      </c>
      <c r="G13" s="27"/>
      <c r="H13">
        <v>6.0365899999999997E-5</v>
      </c>
      <c r="I13">
        <v>-9.2668099999999995E-5</v>
      </c>
      <c r="J13">
        <f>-6.10604*10^-6</f>
        <v>-6.1060399999999999E-6</v>
      </c>
      <c r="K13">
        <f>6.10604*10^-6</f>
        <v>6.1060399999999999E-6</v>
      </c>
      <c r="L13">
        <v>-1.53034E-4</v>
      </c>
      <c r="M13">
        <v>-1.53034E-4</v>
      </c>
      <c r="N13">
        <v>0.99732900000000002</v>
      </c>
    </row>
    <row r="14" spans="1:14" x14ac:dyDescent="0.25">
      <c r="A14" s="22">
        <v>513</v>
      </c>
      <c r="B14" s="26">
        <v>0.17996100000000001</v>
      </c>
      <c r="C14" s="27">
        <v>20.444400000000002</v>
      </c>
      <c r="D14" s="28">
        <v>14.41</v>
      </c>
      <c r="E14" s="29">
        <f t="shared" si="0"/>
        <v>6.0344000000000015</v>
      </c>
      <c r="F14" s="25">
        <v>1.5089999999999999</v>
      </c>
      <c r="G14" s="27"/>
      <c r="H14">
        <v>1.2192E-4</v>
      </c>
      <c r="I14">
        <v>-3.2044600000000001E-5</v>
      </c>
      <c r="J14">
        <f>-1.98277*10^-6</f>
        <v>-1.9827699999999999E-6</v>
      </c>
      <c r="K14">
        <f>1.98277*10^-6</f>
        <v>1.9827699999999999E-6</v>
      </c>
      <c r="L14">
        <v>-1.5396499999999999E-4</v>
      </c>
      <c r="M14">
        <v>-1.5396499999999999E-4</v>
      </c>
      <c r="N14">
        <v>0.99711700000000003</v>
      </c>
    </row>
    <row r="15" spans="1:14" x14ac:dyDescent="0.25">
      <c r="A15" s="22">
        <v>556</v>
      </c>
      <c r="B15" s="22">
        <v>0.198161</v>
      </c>
      <c r="C15" s="27">
        <v>18.399999999999999</v>
      </c>
      <c r="D15" s="24">
        <v>12.97</v>
      </c>
      <c r="E15" s="29">
        <f t="shared" si="0"/>
        <v>5.4299999999999979</v>
      </c>
      <c r="F15" s="25">
        <v>1.508</v>
      </c>
      <c r="G15" s="27"/>
      <c r="H15">
        <v>1.05444E-4</v>
      </c>
      <c r="I15">
        <v>-3.2334800000000001E-5</v>
      </c>
      <c r="J15">
        <f>-2.03318*10^-6</f>
        <v>-2.0331800000000002E-6</v>
      </c>
      <c r="K15">
        <f>2.03318*10^-6</f>
        <v>2.0331800000000002E-6</v>
      </c>
      <c r="L15">
        <v>-1.3777900000000001E-4</v>
      </c>
      <c r="M15">
        <v>-1.3777900000000001E-4</v>
      </c>
      <c r="N15">
        <v>0.99846000000000001</v>
      </c>
    </row>
    <row r="16" spans="1:14" ht="15.75" thickBot="1" x14ac:dyDescent="0.3">
      <c r="A16" s="70">
        <v>602</v>
      </c>
      <c r="B16" s="70">
        <v>0.101647</v>
      </c>
      <c r="C16" s="70">
        <v>17.3599</v>
      </c>
      <c r="D16" s="71">
        <v>4.43</v>
      </c>
      <c r="E16" s="29">
        <f t="shared" si="0"/>
        <v>12.9299</v>
      </c>
      <c r="F16" s="58">
        <v>1.498</v>
      </c>
      <c r="G16" s="72"/>
      <c r="H16" s="8">
        <v>-1.6908099999999999E-4</v>
      </c>
      <c r="I16">
        <v>-3.80536E-4</v>
      </c>
      <c r="J16">
        <v>-2.7750600000000002E-5</v>
      </c>
      <c r="K16">
        <v>2.7750600000000002E-5</v>
      </c>
      <c r="L16">
        <v>-2.11454E-4</v>
      </c>
      <c r="M16">
        <v>-2.11454E-4</v>
      </c>
      <c r="N16">
        <v>0.99802000000000002</v>
      </c>
    </row>
    <row r="17" spans="1:14" x14ac:dyDescent="0.25">
      <c r="A17" s="38" t="s">
        <v>6</v>
      </c>
      <c r="B17" s="39">
        <f t="shared" ref="B17:D17" si="1">AVERAGE(B5,B6,B8,B9,B12,B13,B14,B15)</f>
        <v>0.13697001250000002</v>
      </c>
      <c r="C17" s="39">
        <f t="shared" si="1"/>
        <v>21.036950000000001</v>
      </c>
      <c r="D17" s="39">
        <f t="shared" si="1"/>
        <v>9.1362500000000004</v>
      </c>
      <c r="E17" s="39">
        <f>AVERAGE(E5,E6,E8,E9,E12,E13,E14,E15)</f>
        <v>11.900700000000001</v>
      </c>
      <c r="F17" s="39">
        <f>AVERAGE(F5,F6,F8,F9,F12,F13,F14,F15)</f>
        <v>1.51125</v>
      </c>
      <c r="G17" s="39" t="s">
        <v>52</v>
      </c>
      <c r="H17" s="39">
        <f>-AVERAGE(H5,H6,H8,H9,H12,H13,H14,H15)</f>
        <v>-1.016061375E-4</v>
      </c>
      <c r="I17" s="39">
        <f>-AVERAGE(I5,I6,I8,I9,I12,I13,I14,I15)</f>
        <v>1.1418206250000001E-4</v>
      </c>
      <c r="J17" s="39">
        <f t="shared" ref="J17:N17" si="2">AVERAGE(J5,J6,J8,J9,J12,J13,J14,J15)</f>
        <v>-6.7669824999999994E-6</v>
      </c>
      <c r="K17" s="39">
        <f t="shared" si="2"/>
        <v>6.7669824999999994E-6</v>
      </c>
      <c r="L17" s="39">
        <f t="shared" si="2"/>
        <v>-2.1578837500000001E-4</v>
      </c>
      <c r="M17" s="39">
        <f t="shared" si="2"/>
        <v>-2.1578837500000001E-4</v>
      </c>
      <c r="N17" s="60">
        <f t="shared" si="2"/>
        <v>0.99707537499999987</v>
      </c>
    </row>
    <row r="18" spans="1:14" ht="15.75" thickBot="1" x14ac:dyDescent="0.3">
      <c r="A18" s="18" t="s">
        <v>7</v>
      </c>
      <c r="B18" s="19">
        <f t="shared" ref="B18:D18" si="3">_xlfn.STDEV.P(B5,B6,B8,B9,B12,B13,B14,B15)</f>
        <v>3.3209223244169507E-2</v>
      </c>
      <c r="C18" s="19">
        <f t="shared" si="3"/>
        <v>2.4695464750637863</v>
      </c>
      <c r="D18" s="19">
        <f t="shared" si="3"/>
        <v>4.4349011756182346</v>
      </c>
      <c r="E18" s="19">
        <f>_xlfn.STDEV.P(E5,E6,E8,E9,E12,E13,E14,E15)</f>
        <v>6.4636046912694143</v>
      </c>
      <c r="F18" s="19">
        <f>_xlfn.STDEV.P(F5,F6,F8,F9,F12,F13,F14,F15)</f>
        <v>6.4951905283833081E-3</v>
      </c>
      <c r="G18" s="19" t="s">
        <v>53</v>
      </c>
      <c r="H18" s="19">
        <f>_xlfn.STDEV.P(H5,H6,H8,H9,H12,H13,H14,H15)</f>
        <v>4.8123471363071303E-5</v>
      </c>
      <c r="I18" s="19">
        <f t="shared" ref="I18:N18" si="4">_xlfn.STDEV.P(I5,I6,I8,I9,I12,I13,I14,I15)</f>
        <v>5.6722506960177136E-5</v>
      </c>
      <c r="J18" s="19">
        <f t="shared" si="4"/>
        <v>3.6549315001746271E-6</v>
      </c>
      <c r="K18" s="19">
        <f t="shared" si="4"/>
        <v>3.6549315001746271E-6</v>
      </c>
      <c r="L18" s="19">
        <f t="shared" si="4"/>
        <v>6.3183706744574384E-5</v>
      </c>
      <c r="M18" s="19">
        <f t="shared" si="4"/>
        <v>6.3183706744574384E-5</v>
      </c>
      <c r="N18" s="62">
        <f t="shared" si="4"/>
        <v>1.7559579961875555E-3</v>
      </c>
    </row>
    <row r="19" spans="1:14" x14ac:dyDescent="0.25">
      <c r="A19" s="16" t="s">
        <v>8</v>
      </c>
      <c r="B19" s="17">
        <f>B17+B18</f>
        <v>0.17017923574416952</v>
      </c>
    </row>
    <row r="20" spans="1:14" ht="15.75" thickBot="1" x14ac:dyDescent="0.3">
      <c r="A20" s="18" t="s">
        <v>9</v>
      </c>
      <c r="B20" s="19">
        <f>B17-B18</f>
        <v>0.10376078925583052</v>
      </c>
    </row>
  </sheetData>
  <mergeCells count="1"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N17"/>
  <sheetViews>
    <sheetView workbookViewId="0">
      <selection activeCell="I25" sqref="I25"/>
    </sheetView>
  </sheetViews>
  <sheetFormatPr defaultRowHeight="15" x14ac:dyDescent="0.25"/>
  <cols>
    <col min="1" max="2" width="12.7109375" bestFit="1" customWidth="1"/>
    <col min="3" max="3" width="14.7109375" customWidth="1"/>
    <col min="7" max="7" width="9.85546875" bestFit="1" customWidth="1"/>
    <col min="8" max="8" width="12.7109375" bestFit="1" customWidth="1"/>
    <col min="10" max="10" width="12" bestFit="1" customWidth="1"/>
  </cols>
  <sheetData>
    <row r="1" spans="1:14" ht="15.75" thickBot="1" x14ac:dyDescent="0.3">
      <c r="G1" t="s">
        <v>51</v>
      </c>
    </row>
    <row r="2" spans="1:14" x14ac:dyDescent="0.25">
      <c r="A2" s="212" t="s">
        <v>15</v>
      </c>
      <c r="B2" s="213"/>
      <c r="C2" s="213"/>
      <c r="D2" s="213"/>
      <c r="E2" s="213"/>
      <c r="F2" s="214"/>
    </row>
    <row r="3" spans="1:14" ht="45" x14ac:dyDescent="0.25">
      <c r="A3" s="1" t="s">
        <v>1</v>
      </c>
      <c r="B3" s="2" t="s">
        <v>2</v>
      </c>
      <c r="C3" s="2" t="s">
        <v>14</v>
      </c>
      <c r="D3" s="2" t="s">
        <v>3</v>
      </c>
      <c r="E3" s="2" t="s">
        <v>44</v>
      </c>
      <c r="F3" s="3" t="s">
        <v>4</v>
      </c>
      <c r="G3" s="4" t="s">
        <v>5</v>
      </c>
      <c r="H3" s="3" t="s">
        <v>37</v>
      </c>
      <c r="I3" s="50" t="s">
        <v>39</v>
      </c>
      <c r="J3" s="50" t="s">
        <v>41</v>
      </c>
      <c r="K3" s="50" t="s">
        <v>38</v>
      </c>
      <c r="L3" s="3" t="s">
        <v>42</v>
      </c>
      <c r="M3" s="3" t="s">
        <v>40</v>
      </c>
      <c r="N3" s="50" t="s">
        <v>43</v>
      </c>
    </row>
    <row r="4" spans="1:14" x14ac:dyDescent="0.25">
      <c r="A4" s="22">
        <v>78</v>
      </c>
      <c r="B4">
        <v>0.113153</v>
      </c>
      <c r="C4" s="29">
        <v>29.869599999999998</v>
      </c>
      <c r="D4" s="29">
        <v>15.26</v>
      </c>
      <c r="E4" s="29">
        <f>C4-D4</f>
        <v>14.609599999999999</v>
      </c>
      <c r="F4" s="30">
        <v>1.5840000000000001</v>
      </c>
      <c r="G4" s="27" t="s">
        <v>49</v>
      </c>
      <c r="H4">
        <v>1.06687E-4</v>
      </c>
      <c r="I4">
        <v>-1.7967300000000001E-4</v>
      </c>
      <c r="J4">
        <f>2.37249*10^-6</f>
        <v>2.3724899999999999E-6</v>
      </c>
      <c r="K4">
        <f>-2.37249*10^-6</f>
        <v>-2.3724899999999999E-6</v>
      </c>
      <c r="L4">
        <v>-2.86361E-4</v>
      </c>
      <c r="M4">
        <v>-2.86361E-4</v>
      </c>
      <c r="N4">
        <v>0.997475</v>
      </c>
    </row>
    <row r="5" spans="1:14" x14ac:dyDescent="0.25">
      <c r="A5" s="22">
        <v>90</v>
      </c>
      <c r="B5" s="29">
        <v>0.10329099999999999</v>
      </c>
      <c r="C5" s="29">
        <v>23.2</v>
      </c>
      <c r="D5" s="29">
        <v>11.77</v>
      </c>
      <c r="E5" s="29">
        <f t="shared" ref="E5:E13" si="0">C5-D5</f>
        <v>11.43</v>
      </c>
      <c r="F5" s="30">
        <v>1.579</v>
      </c>
      <c r="G5" s="27" t="s">
        <v>49</v>
      </c>
      <c r="H5" s="8">
        <v>-2.1128299999999999E-4</v>
      </c>
      <c r="I5">
        <v>-4.2548999999999999E-4</v>
      </c>
      <c r="J5">
        <f>3.49066*10^-6</f>
        <v>3.4906600000000001E-6</v>
      </c>
      <c r="K5">
        <f>-3.49066*10^-6</f>
        <v>-3.4906600000000001E-6</v>
      </c>
      <c r="L5">
        <v>-2.1420799999999999E-4</v>
      </c>
      <c r="M5">
        <v>-2.1420799999999999E-4</v>
      </c>
      <c r="N5">
        <v>0.99779499999999999</v>
      </c>
    </row>
    <row r="6" spans="1:14" x14ac:dyDescent="0.25">
      <c r="A6" s="22">
        <v>123</v>
      </c>
      <c r="B6" s="22">
        <v>0.101558</v>
      </c>
      <c r="C6" s="22">
        <v>38.722200000000001</v>
      </c>
      <c r="D6" s="24">
        <v>24.89</v>
      </c>
      <c r="E6" s="29">
        <f t="shared" si="0"/>
        <v>13.8322</v>
      </c>
      <c r="F6" s="25">
        <v>1.5960000000000001</v>
      </c>
      <c r="G6" s="27" t="s">
        <v>50</v>
      </c>
      <c r="H6">
        <v>1.5762799999999999E-4</v>
      </c>
      <c r="I6">
        <v>-1.5198800000000001E-4</v>
      </c>
      <c r="J6">
        <f>3.83146*10^-6</f>
        <v>3.8314599999999994E-6</v>
      </c>
      <c r="K6">
        <f>-3.83146*10^-6</f>
        <v>-3.8314599999999994E-6</v>
      </c>
      <c r="L6">
        <v>-3.0961500000000001E-4</v>
      </c>
      <c r="M6">
        <v>-3.0961500000000001E-4</v>
      </c>
      <c r="N6">
        <v>0.99759399999999998</v>
      </c>
    </row>
    <row r="7" spans="1:14" x14ac:dyDescent="0.25">
      <c r="A7" s="22">
        <v>142</v>
      </c>
      <c r="B7" s="22">
        <v>8.21495E-2</v>
      </c>
      <c r="C7" s="23">
        <v>33.360500000000002</v>
      </c>
      <c r="D7" s="24">
        <v>21.94</v>
      </c>
      <c r="E7" s="29">
        <f t="shared" si="0"/>
        <v>11.420500000000001</v>
      </c>
      <c r="F7" s="25">
        <v>1.5820000000000001</v>
      </c>
      <c r="G7" s="25"/>
      <c r="H7" s="8">
        <v>-1.28558E-4</v>
      </c>
      <c r="I7">
        <v>-3.83531E-4</v>
      </c>
      <c r="J7">
        <f>4.29713*10^-6</f>
        <v>4.2971300000000003E-6</v>
      </c>
      <c r="K7">
        <f>-4.29713*10^-6</f>
        <v>-4.2971300000000003E-6</v>
      </c>
      <c r="L7">
        <v>-2.5497300000000003E-4</v>
      </c>
      <c r="M7">
        <v>-2.5497300000000003E-4</v>
      </c>
      <c r="N7">
        <v>0.99742799999999998</v>
      </c>
    </row>
    <row r="8" spans="1:14" x14ac:dyDescent="0.25">
      <c r="A8" s="22">
        <v>165</v>
      </c>
      <c r="B8" s="13">
        <v>6.9552199999999995E-2</v>
      </c>
      <c r="C8" s="22">
        <v>22</v>
      </c>
      <c r="D8" s="24">
        <v>13.3</v>
      </c>
      <c r="E8" s="29">
        <f t="shared" si="0"/>
        <v>8.6999999999999993</v>
      </c>
      <c r="F8" s="25">
        <v>1.5760000000000001</v>
      </c>
      <c r="G8" s="27"/>
      <c r="H8" s="8">
        <v>-2.0249500000000002E-3</v>
      </c>
      <c r="I8">
        <v>-2.2086499999999999E-3</v>
      </c>
      <c r="J8">
        <v>1.14932E-5</v>
      </c>
      <c r="K8">
        <v>-1.14932E-5</v>
      </c>
      <c r="L8">
        <v>-1.83699E-4</v>
      </c>
      <c r="M8">
        <v>-1.83699E-4</v>
      </c>
      <c r="N8">
        <v>0.99890500000000004</v>
      </c>
    </row>
    <row r="9" spans="1:14" x14ac:dyDescent="0.25">
      <c r="A9" s="22">
        <v>256</v>
      </c>
      <c r="B9" s="13">
        <v>0.12559300000000001</v>
      </c>
      <c r="C9" s="22">
        <v>25.747399999999999</v>
      </c>
      <c r="D9" s="24">
        <v>16.89</v>
      </c>
      <c r="E9" s="29">
        <f t="shared" si="0"/>
        <v>8.8573999999999984</v>
      </c>
      <c r="F9" s="25">
        <v>1.589</v>
      </c>
      <c r="G9" s="27"/>
      <c r="H9">
        <v>3.2327199999999998E-5</v>
      </c>
      <c r="I9">
        <v>-1.66828E-4</v>
      </c>
      <c r="J9">
        <f>3.03722*10^-6</f>
        <v>3.03722E-6</v>
      </c>
      <c r="K9">
        <f>-3.03722*10^-6</f>
        <v>-3.03722E-6</v>
      </c>
      <c r="L9">
        <v>-1.9915500000000001E-4</v>
      </c>
      <c r="M9">
        <v>-1.9915500000000001E-4</v>
      </c>
      <c r="N9">
        <v>0.99893900000000002</v>
      </c>
    </row>
    <row r="10" spans="1:14" x14ac:dyDescent="0.25">
      <c r="A10" s="22">
        <v>440</v>
      </c>
      <c r="B10" s="22">
        <v>8.0120899999999995E-2</v>
      </c>
      <c r="C10" s="22">
        <v>37.777799999999999</v>
      </c>
      <c r="D10" s="24">
        <v>23</v>
      </c>
      <c r="E10" s="29">
        <f t="shared" si="0"/>
        <v>14.777799999999999</v>
      </c>
      <c r="F10" s="25">
        <v>1.5860000000000001</v>
      </c>
      <c r="G10" s="27"/>
      <c r="H10" s="8">
        <v>-1.81805E-5</v>
      </c>
      <c r="I10">
        <v>-3.30086E-4</v>
      </c>
      <c r="J10">
        <f>5.0189*10^-6</f>
        <v>5.0189000000000003E-6</v>
      </c>
      <c r="K10">
        <f>-5.0189*10^-6</f>
        <v>-5.0189000000000003E-6</v>
      </c>
      <c r="L10">
        <v>-3.1190500000000002E-4</v>
      </c>
      <c r="M10">
        <v>-3.1190500000000002E-4</v>
      </c>
      <c r="N10">
        <v>0.99685400000000002</v>
      </c>
    </row>
    <row r="11" spans="1:14" x14ac:dyDescent="0.25">
      <c r="A11" s="22">
        <v>520</v>
      </c>
      <c r="B11" s="22">
        <v>9.8837499999999995E-2</v>
      </c>
      <c r="C11" s="22">
        <v>37.722200000000001</v>
      </c>
      <c r="D11" s="24">
        <v>23.44</v>
      </c>
      <c r="E11" s="29">
        <f t="shared" si="0"/>
        <v>14.2822</v>
      </c>
      <c r="F11" s="25">
        <v>1.599</v>
      </c>
      <c r="G11" s="27"/>
      <c r="H11">
        <v>1.23113E-4</v>
      </c>
      <c r="I11">
        <v>-1.83489E-4</v>
      </c>
      <c r="J11">
        <f>5.17643*10^-6</f>
        <v>5.1764299999999997E-6</v>
      </c>
      <c r="K11">
        <f>-5.17643*10^-6</f>
        <v>-5.1764299999999997E-6</v>
      </c>
      <c r="L11">
        <v>-3.06602E-4</v>
      </c>
      <c r="M11">
        <v>-3.06602E-4</v>
      </c>
      <c r="N11">
        <v>0.998305</v>
      </c>
    </row>
    <row r="12" spans="1:14" x14ac:dyDescent="0.25">
      <c r="A12" s="22">
        <v>666</v>
      </c>
      <c r="B12" s="27">
        <v>6.6771200000000003E-2</v>
      </c>
      <c r="C12" s="22">
        <v>38.666699999999999</v>
      </c>
      <c r="D12" s="24">
        <v>25.39</v>
      </c>
      <c r="E12" s="29">
        <f t="shared" si="0"/>
        <v>13.276699999999998</v>
      </c>
      <c r="F12" s="25">
        <v>1.613</v>
      </c>
      <c r="G12" s="27"/>
      <c r="H12" s="8">
        <v>-5.6275200000000002E-4</v>
      </c>
      <c r="I12">
        <v>-8.3658099999999998E-4</v>
      </c>
      <c r="J12">
        <v>3.5327799999999997E-5</v>
      </c>
      <c r="K12">
        <v>-3.5327799999999997E-5</v>
      </c>
      <c r="L12">
        <v>-2.7382900000000001E-4</v>
      </c>
      <c r="M12">
        <v>-2.7382900000000001E-4</v>
      </c>
      <c r="N12">
        <v>0.99692899999999995</v>
      </c>
    </row>
    <row r="13" spans="1:14" ht="15.75" thickBot="1" x14ac:dyDescent="0.3">
      <c r="A13" s="70">
        <v>885</v>
      </c>
      <c r="B13" s="70">
        <v>6.7365599999999998E-2</v>
      </c>
      <c r="C13" s="70">
        <v>32.714300000000001</v>
      </c>
      <c r="D13" s="71">
        <v>22.9</v>
      </c>
      <c r="E13" s="29">
        <f t="shared" si="0"/>
        <v>9.8143000000000029</v>
      </c>
      <c r="F13" s="58">
        <v>1.5880000000000001</v>
      </c>
      <c r="G13" s="72"/>
      <c r="H13" s="8">
        <v>-7.0763399999999995E-4</v>
      </c>
      <c r="I13">
        <v>-9.3227200000000005E-4</v>
      </c>
      <c r="J13">
        <v>1.6040099999999999E-5</v>
      </c>
      <c r="K13">
        <v>-1.6040099999999999E-5</v>
      </c>
      <c r="L13">
        <v>-2.2463800000000001E-4</v>
      </c>
      <c r="M13">
        <v>-2.2463800000000001E-4</v>
      </c>
      <c r="N13">
        <v>0.99640399999999996</v>
      </c>
    </row>
    <row r="14" spans="1:14" x14ac:dyDescent="0.25">
      <c r="A14" s="38" t="s">
        <v>6</v>
      </c>
      <c r="B14" s="39">
        <f t="shared" ref="B14:D14" si="1">AVERAGE(B4,B6,B9,B11)</f>
        <v>0.10978537499999999</v>
      </c>
      <c r="C14" s="39">
        <f t="shared" si="1"/>
        <v>33.015349999999998</v>
      </c>
      <c r="D14" s="39">
        <f t="shared" si="1"/>
        <v>20.12</v>
      </c>
      <c r="E14" s="39">
        <f>AVERAGE(E4,E6,E9,E11)</f>
        <v>12.895350000000001</v>
      </c>
      <c r="F14" s="39">
        <f>AVERAGE(F4,F6,F9,F11)</f>
        <v>1.5920000000000001</v>
      </c>
      <c r="G14" s="39" t="s">
        <v>52</v>
      </c>
      <c r="H14" s="39">
        <f>-AVERAGE(H4,H6,H9,H11)</f>
        <v>-1.0493879999999999E-4</v>
      </c>
      <c r="I14" s="39">
        <f>-AVERAGE(I4,I6,I9,I11)</f>
        <v>1.7049449999999999E-4</v>
      </c>
      <c r="J14" s="39">
        <f t="shared" ref="J14:N14" si="2">AVERAGE(J4,J6,J9,J11)</f>
        <v>3.6043999999999997E-6</v>
      </c>
      <c r="K14" s="39">
        <f t="shared" si="2"/>
        <v>-3.6043999999999997E-6</v>
      </c>
      <c r="L14" s="39">
        <f t="shared" si="2"/>
        <v>-2.7543325000000003E-4</v>
      </c>
      <c r="M14" s="39">
        <f t="shared" si="2"/>
        <v>-2.7543325000000003E-4</v>
      </c>
      <c r="N14" s="60">
        <f t="shared" si="2"/>
        <v>0.99807825000000006</v>
      </c>
    </row>
    <row r="15" spans="1:14" ht="15.75" thickBot="1" x14ac:dyDescent="0.3">
      <c r="A15" s="18" t="s">
        <v>7</v>
      </c>
      <c r="B15" s="19">
        <f t="shared" ref="B15:D15" si="3">_xlfn.STDEV.P(B4,B6,B9,B11)</f>
        <v>1.0592067464469584E-2</v>
      </c>
      <c r="C15" s="19">
        <f t="shared" si="3"/>
        <v>5.4185194959047749</v>
      </c>
      <c r="D15" s="19">
        <f t="shared" si="3"/>
        <v>4.1178817370099408</v>
      </c>
      <c r="E15" s="19">
        <f>_xlfn.STDEV.P(E4,E6,E9,E11)</f>
        <v>2.3475910051582622</v>
      </c>
      <c r="F15" s="19">
        <f>_xlfn.STDEV.P(F4,F6,F9,F11)</f>
        <v>5.8736700622353515E-3</v>
      </c>
      <c r="G15" s="19" t="s">
        <v>53</v>
      </c>
      <c r="H15" s="19">
        <f>_xlfn.STDEV.P(H4,H6,H9,H11)</f>
        <v>4.5776505983091373E-5</v>
      </c>
      <c r="I15" s="19">
        <f t="shared" ref="I15:N15" si="4">_xlfn.STDEV.P(I4,I6,I9,I11)</f>
        <v>1.2339323897604763E-5</v>
      </c>
      <c r="J15" s="19">
        <f t="shared" si="4"/>
        <v>1.0442856368111169E-6</v>
      </c>
      <c r="K15" s="19">
        <f t="shared" si="4"/>
        <v>1.0442856368111169E-6</v>
      </c>
      <c r="L15" s="19">
        <f t="shared" si="4"/>
        <v>4.4937929838695285E-5</v>
      </c>
      <c r="M15" s="19">
        <f t="shared" si="4"/>
        <v>4.4937929838695285E-5</v>
      </c>
      <c r="N15" s="62">
        <f t="shared" si="4"/>
        <v>5.896428474085083E-4</v>
      </c>
    </row>
    <row r="16" spans="1:14" x14ac:dyDescent="0.25">
      <c r="A16" s="16" t="s">
        <v>8</v>
      </c>
      <c r="B16" s="17">
        <f>B14+B15</f>
        <v>0.12037744246446958</v>
      </c>
    </row>
    <row r="17" spans="1:2" ht="15.75" thickBot="1" x14ac:dyDescent="0.3">
      <c r="A17" s="18" t="s">
        <v>9</v>
      </c>
      <c r="B17" s="19">
        <f>B14-B15</f>
        <v>9.9193307535530406E-2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Summary Avgs and Stdevs</vt:lpstr>
      <vt:lpstr>Summary DMA data</vt:lpstr>
      <vt:lpstr>Usable Gamma's</vt:lpstr>
      <vt:lpstr>M213 143514 Se TG</vt:lpstr>
      <vt:lpstr>M8 145056 A TG</vt:lpstr>
      <vt:lpstr>M8 145056 A BG</vt:lpstr>
      <vt:lpstr>M11 133651 A TG</vt:lpstr>
      <vt:lpstr>M4 110142 A TG</vt:lpstr>
      <vt:lpstr>M8 134640 A BG</vt:lpstr>
      <vt:lpstr>M1 142413 Sl BG</vt:lpstr>
      <vt:lpstr>M4 114756 Sl TG</vt:lpstr>
      <vt:lpstr>M9 144505 Sl TG</vt:lpstr>
      <vt:lpstr>PL1 104827 Sl BG</vt:lpstr>
      <vt:lpstr>PL1 134856 Sl BG</vt:lpstr>
      <vt:lpstr>PL5 145450 Sl TG</vt:lpstr>
      <vt:lpstr>PL3 113156 A TG</vt:lpstr>
      <vt:lpstr>PL3 113813 A TG</vt:lpstr>
      <vt:lpstr>PL3 114723 A TG</vt:lpstr>
      <vt:lpstr>PL6 154513 A TG</vt:lpstr>
      <vt:lpstr>PL6 155022 A TG</vt:lpstr>
      <vt:lpstr>PL1 134856 A TG</vt:lpstr>
      <vt:lpstr>PL4 132734 Se TG</vt:lpstr>
      <vt:lpstr>PL5 145450 Se BG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Sande</dc:creator>
  <cp:lastModifiedBy>Windows User</cp:lastModifiedBy>
  <cp:lastPrinted>2017-12-04T17:24:18Z</cp:lastPrinted>
  <dcterms:created xsi:type="dcterms:W3CDTF">2017-09-11T14:30:53Z</dcterms:created>
  <dcterms:modified xsi:type="dcterms:W3CDTF">2018-01-26T15:33:06Z</dcterms:modified>
</cp:coreProperties>
</file>